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6" windowHeight="13176" activeTab="1"/>
  </bookViews>
  <sheets>
    <sheet name="титулка" sheetId="3" r:id="rId1"/>
    <sheet name="тарификация" sheetId="7" r:id="rId2"/>
    <sheet name="штатка" sheetId="8" r:id="rId3"/>
    <sheet name="определение педставок" sheetId="10" r:id="rId4"/>
  </sheets>
  <definedNames>
    <definedName name="_xlnm._FilterDatabase" localSheetId="1" hidden="1">тарификация!$A$16:$BQ$16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19" i="7" l="1"/>
  <c r="BL20" i="7"/>
  <c r="BL21" i="7"/>
  <c r="BL22" i="7"/>
  <c r="BL23" i="7"/>
  <c r="BL24" i="7"/>
  <c r="BL26" i="7"/>
  <c r="BL27" i="7"/>
  <c r="BL28" i="7"/>
  <c r="BL29" i="7"/>
  <c r="BL31" i="7"/>
  <c r="BL32" i="7"/>
  <c r="BL33" i="7"/>
  <c r="BL34" i="7"/>
  <c r="BL35" i="7"/>
  <c r="BL36" i="7"/>
  <c r="BL37" i="7"/>
  <c r="BL38" i="7"/>
  <c r="BL40" i="7"/>
  <c r="BL41" i="7"/>
  <c r="BL42" i="7"/>
  <c r="BL43" i="7"/>
  <c r="BL44" i="7"/>
  <c r="BL45" i="7"/>
  <c r="BL48" i="7"/>
  <c r="BL49" i="7"/>
  <c r="BL50" i="7"/>
  <c r="BL54" i="7"/>
  <c r="BL55" i="7"/>
  <c r="BL56" i="7"/>
  <c r="BL57" i="7"/>
  <c r="BL58" i="7"/>
  <c r="BL59" i="7"/>
  <c r="BL60" i="7"/>
  <c r="BL61" i="7"/>
  <c r="BL63" i="7"/>
  <c r="BL64" i="7"/>
  <c r="BL65" i="7"/>
  <c r="BL67" i="7"/>
  <c r="BL68" i="7"/>
  <c r="BL69" i="7"/>
  <c r="BL71" i="7"/>
  <c r="BL72" i="7"/>
  <c r="BL73" i="7"/>
  <c r="BL74" i="7"/>
  <c r="BL75" i="7"/>
  <c r="BL76" i="7"/>
  <c r="BL77" i="7"/>
  <c r="BL78" i="7"/>
  <c r="BL79" i="7"/>
  <c r="BL80" i="7"/>
  <c r="BL81" i="7"/>
  <c r="BL82" i="7"/>
  <c r="BL83" i="7"/>
  <c r="BL85" i="7"/>
  <c r="BL86" i="7"/>
  <c r="BL87" i="7"/>
  <c r="BL88" i="7"/>
  <c r="BL89" i="7"/>
  <c r="BL90" i="7"/>
  <c r="BL91" i="7"/>
  <c r="BL92" i="7"/>
  <c r="BL18" i="7"/>
  <c r="X25" i="8" l="1"/>
  <c r="X26" i="8" s="1"/>
  <c r="Y25" i="8"/>
  <c r="Y26" i="8" s="1"/>
  <c r="X40" i="8"/>
  <c r="X41" i="8" s="1"/>
  <c r="Y40" i="8"/>
  <c r="Y41" i="8" s="1"/>
  <c r="X55" i="8"/>
  <c r="Y55" i="8"/>
  <c r="X62" i="8"/>
  <c r="Y62" i="8"/>
  <c r="X73" i="8"/>
  <c r="X74" i="8" s="1"/>
  <c r="Y73" i="8"/>
  <c r="Y74" i="8" s="1"/>
  <c r="Y75" i="8" l="1"/>
  <c r="X75" i="8"/>
  <c r="AN30" i="7"/>
  <c r="N49" i="10"/>
  <c r="N48" i="10"/>
  <c r="K48" i="10"/>
  <c r="L48" i="10" s="1"/>
  <c r="F48" i="10"/>
  <c r="E48" i="10"/>
  <c r="L47" i="10"/>
  <c r="M47" i="10" s="1"/>
  <c r="N47" i="10" s="1"/>
  <c r="L46" i="10"/>
  <c r="M46" i="10" s="1"/>
  <c r="N46" i="10" s="1"/>
  <c r="L45" i="10"/>
  <c r="M45" i="10" s="1"/>
  <c r="N45" i="10" s="1"/>
  <c r="L44" i="10"/>
  <c r="M44" i="10" s="1"/>
  <c r="N44" i="10" s="1"/>
  <c r="K43" i="10"/>
  <c r="I43" i="10"/>
  <c r="H43" i="10"/>
  <c r="G43" i="10"/>
  <c r="F43" i="10"/>
  <c r="E43" i="10"/>
  <c r="D43" i="10"/>
  <c r="L42" i="10"/>
  <c r="M42" i="10" s="1"/>
  <c r="N42" i="10" s="1"/>
  <c r="L41" i="10"/>
  <c r="M41" i="10" s="1"/>
  <c r="N41" i="10" s="1"/>
  <c r="L40" i="10"/>
  <c r="M40" i="10" s="1"/>
  <c r="N40" i="10" s="1"/>
  <c r="L39" i="10"/>
  <c r="M39" i="10" s="1"/>
  <c r="N39" i="10" s="1"/>
  <c r="L38" i="10"/>
  <c r="M38" i="10" s="1"/>
  <c r="N38" i="10" s="1"/>
  <c r="L37" i="10"/>
  <c r="M37" i="10" s="1"/>
  <c r="N37" i="10" s="1"/>
  <c r="L36" i="10"/>
  <c r="M36" i="10" s="1"/>
  <c r="N36" i="10" s="1"/>
  <c r="L35" i="10"/>
  <c r="M35" i="10" s="1"/>
  <c r="N35" i="10" s="1"/>
  <c r="L34" i="10"/>
  <c r="M34" i="10" s="1"/>
  <c r="N34" i="10" s="1"/>
  <c r="L33" i="10"/>
  <c r="M33" i="10" s="1"/>
  <c r="N33" i="10" s="1"/>
  <c r="L32" i="10"/>
  <c r="M32" i="10" s="1"/>
  <c r="N32" i="10" s="1"/>
  <c r="L31" i="10"/>
  <c r="M31" i="10" s="1"/>
  <c r="N31" i="10" s="1"/>
  <c r="M30" i="10"/>
  <c r="N30" i="10" s="1"/>
  <c r="L30" i="10"/>
  <c r="L29" i="10"/>
  <c r="M29" i="10" s="1"/>
  <c r="N29" i="10" s="1"/>
  <c r="L28" i="10"/>
  <c r="M28" i="10" s="1"/>
  <c r="N28" i="10" s="1"/>
  <c r="L27" i="10"/>
  <c r="M27" i="10" s="1"/>
  <c r="N27" i="10" s="1"/>
  <c r="L26" i="10"/>
  <c r="M26" i="10" s="1"/>
  <c r="N26" i="10" s="1"/>
  <c r="L25" i="10"/>
  <c r="M25" i="10" s="1"/>
  <c r="N25" i="10" s="1"/>
  <c r="L24" i="10"/>
  <c r="M24" i="10" s="1"/>
  <c r="N24" i="10" s="1"/>
  <c r="I23" i="10"/>
  <c r="H23" i="10"/>
  <c r="G23" i="10"/>
  <c r="F23" i="10"/>
  <c r="E23" i="10"/>
  <c r="D23" i="10"/>
  <c r="L22" i="10"/>
  <c r="M22" i="10" s="1"/>
  <c r="N22" i="10" s="1"/>
  <c r="L21" i="10"/>
  <c r="M21" i="10" s="1"/>
  <c r="N21" i="10" s="1"/>
  <c r="L20" i="10"/>
  <c r="M20" i="10" s="1"/>
  <c r="N20" i="10" s="1"/>
  <c r="L19" i="10"/>
  <c r="M19" i="10" s="1"/>
  <c r="N19" i="10" s="1"/>
  <c r="L18" i="10"/>
  <c r="M18" i="10" s="1"/>
  <c r="N18" i="10" s="1"/>
  <c r="L17" i="10"/>
  <c r="M17" i="10" s="1"/>
  <c r="N17" i="10" s="1"/>
  <c r="L16" i="10"/>
  <c r="M16" i="10" s="1"/>
  <c r="N16" i="10" s="1"/>
  <c r="L15" i="10"/>
  <c r="M15" i="10" s="1"/>
  <c r="N15" i="10" s="1"/>
  <c r="L14" i="10"/>
  <c r="M14" i="10" s="1"/>
  <c r="N14" i="10" s="1"/>
  <c r="L13" i="10"/>
  <c r="M13" i="10" s="1"/>
  <c r="N13" i="10" s="1"/>
  <c r="L12" i="10"/>
  <c r="M12" i="10" s="1"/>
  <c r="N12" i="10" s="1"/>
  <c r="L11" i="10"/>
  <c r="M11" i="10" s="1"/>
  <c r="N11" i="10" s="1"/>
  <c r="L10" i="10"/>
  <c r="M10" i="10" s="1"/>
  <c r="N10" i="10" s="1"/>
  <c r="L9" i="10"/>
  <c r="M9" i="10" s="1"/>
  <c r="N9" i="10" s="1"/>
  <c r="L8" i="10"/>
  <c r="M8" i="10" s="1"/>
  <c r="N8" i="10" s="1"/>
  <c r="L7" i="10"/>
  <c r="M7" i="10" s="1"/>
  <c r="N7" i="10" s="1"/>
  <c r="M23" i="10" l="1"/>
  <c r="N23" i="10" s="1"/>
  <c r="L43" i="10"/>
  <c r="M43" i="10" s="1"/>
  <c r="N43" i="10" s="1"/>
  <c r="AH21" i="7"/>
  <c r="AH22" i="7"/>
  <c r="AY19" i="7" l="1"/>
  <c r="AW19" i="7"/>
  <c r="AN19" i="7"/>
  <c r="AL19" i="7"/>
  <c r="AH19" i="7"/>
  <c r="L19" i="7"/>
  <c r="K19" i="7"/>
  <c r="BC19" i="7" s="1"/>
  <c r="P19" i="7" l="1"/>
  <c r="R19" i="7"/>
  <c r="AB19" i="7"/>
  <c r="AF19" i="7"/>
  <c r="AT19" i="7"/>
  <c r="Q19" i="7"/>
  <c r="Z19" i="7"/>
  <c r="AD19" i="7"/>
  <c r="BM19" i="7" l="1"/>
  <c r="I35" i="8"/>
  <c r="I34" i="8"/>
  <c r="I60" i="8" l="1"/>
  <c r="V55" i="8" l="1"/>
  <c r="W55" i="8"/>
  <c r="M55" i="8"/>
  <c r="N55" i="8"/>
  <c r="O55" i="8"/>
  <c r="P55" i="8"/>
  <c r="Q55" i="8"/>
  <c r="M40" i="8"/>
  <c r="N40" i="8"/>
  <c r="O40" i="8"/>
  <c r="Q40" i="8"/>
  <c r="R40" i="8"/>
  <c r="S40" i="8"/>
  <c r="T40" i="8"/>
  <c r="U40" i="8"/>
  <c r="V40" i="8"/>
  <c r="W40" i="8"/>
  <c r="P25" i="8"/>
  <c r="Q25" i="8"/>
  <c r="R25" i="8"/>
  <c r="S25" i="8"/>
  <c r="T25" i="8"/>
  <c r="U25" i="8"/>
  <c r="V25" i="8"/>
  <c r="W25" i="8"/>
  <c r="U74" i="8"/>
  <c r="V74" i="8"/>
  <c r="W73" i="8"/>
  <c r="W74" i="8" s="1"/>
  <c r="M74" i="8"/>
  <c r="N74" i="8"/>
  <c r="O74" i="8"/>
  <c r="P74" i="8"/>
  <c r="Q74" i="8"/>
  <c r="R74" i="8"/>
  <c r="F73" i="8" l="1"/>
  <c r="F40" i="8"/>
  <c r="F61" i="8"/>
  <c r="F52" i="8"/>
  <c r="I51" i="8"/>
  <c r="K51" i="8" s="1"/>
  <c r="I50" i="8"/>
  <c r="I49" i="8"/>
  <c r="K49" i="8" s="1"/>
  <c r="I48" i="8"/>
  <c r="K48" i="8" s="1"/>
  <c r="I47" i="8"/>
  <c r="K47" i="8" s="1"/>
  <c r="I39" i="8"/>
  <c r="K39" i="8" s="1"/>
  <c r="I38" i="8"/>
  <c r="I37" i="8"/>
  <c r="K37" i="8" s="1"/>
  <c r="I36" i="8"/>
  <c r="K35" i="8"/>
  <c r="K34" i="8"/>
  <c r="I33" i="8"/>
  <c r="K33" i="8" s="1"/>
  <c r="I32" i="8"/>
  <c r="K32" i="8" s="1"/>
  <c r="I31" i="8"/>
  <c r="K31" i="8" s="1"/>
  <c r="P31" i="8" s="1"/>
  <c r="I30" i="8"/>
  <c r="K30" i="8" s="1"/>
  <c r="L30" i="8" s="1"/>
  <c r="I29" i="8"/>
  <c r="K29" i="8" s="1"/>
  <c r="L29" i="8" s="1"/>
  <c r="I28" i="8"/>
  <c r="K28" i="8" s="1"/>
  <c r="L28" i="8" s="1"/>
  <c r="F25" i="8"/>
  <c r="E26" i="8"/>
  <c r="I23" i="8"/>
  <c r="K23" i="8" s="1"/>
  <c r="L23" i="8" s="1"/>
  <c r="I22" i="8"/>
  <c r="K22" i="8" s="1"/>
  <c r="I21" i="8"/>
  <c r="K21" i="8" s="1"/>
  <c r="I20" i="8"/>
  <c r="K20" i="8" s="1"/>
  <c r="I19" i="8"/>
  <c r="K19" i="8" s="1"/>
  <c r="I18" i="8"/>
  <c r="K18" i="8" s="1"/>
  <c r="I17" i="8"/>
  <c r="K17" i="8" s="1"/>
  <c r="I43" i="8"/>
  <c r="I44" i="8"/>
  <c r="K44" i="8" s="1"/>
  <c r="I45" i="8"/>
  <c r="K45" i="8" s="1"/>
  <c r="I46" i="8"/>
  <c r="T68" i="8"/>
  <c r="T73" i="8" s="1"/>
  <c r="T74" i="8" s="1"/>
  <c r="S68" i="8"/>
  <c r="S73" i="8" s="1"/>
  <c r="S74" i="8" s="1"/>
  <c r="U44" i="8"/>
  <c r="U43" i="8"/>
  <c r="I65" i="8"/>
  <c r="K65" i="8" s="1"/>
  <c r="I66" i="8"/>
  <c r="K66" i="8" s="1"/>
  <c r="I67" i="8"/>
  <c r="K67" i="8" s="1"/>
  <c r="I68" i="8"/>
  <c r="K68" i="8" s="1"/>
  <c r="I69" i="8"/>
  <c r="K69" i="8" s="1"/>
  <c r="I70" i="8"/>
  <c r="K70" i="8" s="1"/>
  <c r="I71" i="8"/>
  <c r="K71" i="8" s="1"/>
  <c r="I72" i="8"/>
  <c r="K72" i="8" s="1"/>
  <c r="I64" i="8"/>
  <c r="K64" i="8" s="1"/>
  <c r="I58" i="8"/>
  <c r="K58" i="8" s="1"/>
  <c r="L58" i="8" s="1"/>
  <c r="I59" i="8"/>
  <c r="K59" i="8" s="1"/>
  <c r="K60" i="8"/>
  <c r="L60" i="8" s="1"/>
  <c r="U52" i="8" l="1"/>
  <c r="K43" i="8"/>
  <c r="L43" i="8" s="1"/>
  <c r="Z43" i="8" s="1"/>
  <c r="L48" i="8"/>
  <c r="Z48" i="8" s="1"/>
  <c r="L47" i="8"/>
  <c r="Z47" i="8" s="1"/>
  <c r="L51" i="8"/>
  <c r="Z51" i="8" s="1"/>
  <c r="K50" i="8"/>
  <c r="L50" i="8" s="1"/>
  <c r="K46" i="8"/>
  <c r="K61" i="8"/>
  <c r="L45" i="8"/>
  <c r="Z45" i="8" s="1"/>
  <c r="L44" i="8"/>
  <c r="Z44" i="8" s="1"/>
  <c r="L49" i="8"/>
  <c r="Z49" i="8" s="1"/>
  <c r="I73" i="8"/>
  <c r="Z29" i="8"/>
  <c r="I61" i="8"/>
  <c r="Z28" i="8"/>
  <c r="Z30" i="8"/>
  <c r="L35" i="8"/>
  <c r="Z35" i="8" s="1"/>
  <c r="L39" i="8"/>
  <c r="Z39" i="8" s="1"/>
  <c r="I52" i="8"/>
  <c r="K52" i="8" s="1"/>
  <c r="L52" i="8" s="1"/>
  <c r="K36" i="8"/>
  <c r="L36" i="8" s="1"/>
  <c r="Z36" i="8" s="1"/>
  <c r="K38" i="8"/>
  <c r="L38" i="8" s="1"/>
  <c r="Z38" i="8" s="1"/>
  <c r="L37" i="8"/>
  <c r="Z37" i="8" s="1"/>
  <c r="L34" i="8"/>
  <c r="Z34" i="8" s="1"/>
  <c r="I40" i="8"/>
  <c r="P32" i="8"/>
  <c r="L32" i="8"/>
  <c r="L33" i="8"/>
  <c r="P33" i="8"/>
  <c r="L31" i="8"/>
  <c r="Z31" i="8" s="1"/>
  <c r="L22" i="8"/>
  <c r="Z22" i="8" s="1"/>
  <c r="K25" i="8"/>
  <c r="Z23" i="8"/>
  <c r="I25" i="8"/>
  <c r="O18" i="8"/>
  <c r="L18" i="8"/>
  <c r="O19" i="8"/>
  <c r="L19" i="8"/>
  <c r="O20" i="8"/>
  <c r="L20" i="8"/>
  <c r="N21" i="8"/>
  <c r="N25" i="8" s="1"/>
  <c r="L21" i="8"/>
  <c r="M17" i="8"/>
  <c r="M25" i="8" s="1"/>
  <c r="L17" i="8"/>
  <c r="L67" i="8"/>
  <c r="Z67" i="8" s="1"/>
  <c r="L71" i="8"/>
  <c r="Z71" i="8" s="1"/>
  <c r="Z58" i="8"/>
  <c r="L64" i="8"/>
  <c r="Z64" i="8" s="1"/>
  <c r="L69" i="8"/>
  <c r="Z69" i="8" s="1"/>
  <c r="L65" i="8"/>
  <c r="Z65" i="8" s="1"/>
  <c r="Z57" i="8"/>
  <c r="L72" i="8"/>
  <c r="Z72" i="8" s="1"/>
  <c r="L68" i="8"/>
  <c r="Z68" i="8" s="1"/>
  <c r="L70" i="8"/>
  <c r="Z70" i="8" s="1"/>
  <c r="L59" i="8"/>
  <c r="Z59" i="8" s="1"/>
  <c r="L66" i="8"/>
  <c r="Z66" i="8" s="1"/>
  <c r="Z60" i="8"/>
  <c r="BJ93" i="7"/>
  <c r="BB93" i="7"/>
  <c r="AZ93" i="7"/>
  <c r="AX93" i="7"/>
  <c r="AU93" i="7"/>
  <c r="Z61" i="8" l="1"/>
  <c r="P40" i="8"/>
  <c r="Z33" i="8"/>
  <c r="L61" i="8"/>
  <c r="Z73" i="8"/>
  <c r="L46" i="8"/>
  <c r="Z46" i="8" s="1"/>
  <c r="Z50" i="8"/>
  <c r="K73" i="8"/>
  <c r="I74" i="8"/>
  <c r="Z32" i="8"/>
  <c r="K40" i="8"/>
  <c r="Z17" i="8"/>
  <c r="Z18" i="8"/>
  <c r="L40" i="8"/>
  <c r="Z20" i="8"/>
  <c r="Z21" i="8"/>
  <c r="Z19" i="8"/>
  <c r="L25" i="8"/>
  <c r="O25" i="8"/>
  <c r="Z56" i="8"/>
  <c r="BD93" i="7"/>
  <c r="BE93" i="7"/>
  <c r="AO93" i="7"/>
  <c r="AP93" i="7"/>
  <c r="AQ93" i="7"/>
  <c r="AR93" i="7"/>
  <c r="AM93" i="7"/>
  <c r="AI93" i="7"/>
  <c r="AJ93" i="7"/>
  <c r="AN18" i="7"/>
  <c r="AN20" i="7"/>
  <c r="AN21" i="7"/>
  <c r="AN22" i="7"/>
  <c r="AN23" i="7"/>
  <c r="AN24" i="7"/>
  <c r="AN25" i="7"/>
  <c r="AN26" i="7"/>
  <c r="AN27" i="7"/>
  <c r="AN29" i="7"/>
  <c r="AN31" i="7"/>
  <c r="AN32" i="7"/>
  <c r="AN33" i="7"/>
  <c r="AN34" i="7"/>
  <c r="AN35" i="7"/>
  <c r="AN36" i="7"/>
  <c r="AN37" i="7"/>
  <c r="AN38" i="7"/>
  <c r="AN39" i="7"/>
  <c r="AN40" i="7"/>
  <c r="AN41" i="7"/>
  <c r="AN42" i="7"/>
  <c r="AN43" i="7"/>
  <c r="AN44" i="7"/>
  <c r="AN45" i="7"/>
  <c r="AN46" i="7"/>
  <c r="AN47" i="7"/>
  <c r="AN48" i="7"/>
  <c r="AN49" i="7"/>
  <c r="AN50" i="7"/>
  <c r="AN51" i="7"/>
  <c r="AN52" i="7"/>
  <c r="AN53" i="7"/>
  <c r="AN54" i="7"/>
  <c r="AN55" i="7"/>
  <c r="AN56" i="7"/>
  <c r="AN57" i="7"/>
  <c r="AN58" i="7"/>
  <c r="AN59" i="7"/>
  <c r="AN60" i="7"/>
  <c r="AN61" i="7"/>
  <c r="AN62" i="7"/>
  <c r="AN63" i="7"/>
  <c r="AN64" i="7"/>
  <c r="AN65" i="7"/>
  <c r="AN66" i="7"/>
  <c r="AN67" i="7"/>
  <c r="AN68" i="7"/>
  <c r="AN69" i="7"/>
  <c r="AN70" i="7"/>
  <c r="AN71" i="7"/>
  <c r="AN72" i="7"/>
  <c r="AN73" i="7"/>
  <c r="AN74" i="7"/>
  <c r="AN75" i="7"/>
  <c r="AN76" i="7"/>
  <c r="AN77" i="7"/>
  <c r="AN78" i="7"/>
  <c r="AN79" i="7"/>
  <c r="AN80" i="7"/>
  <c r="AN81" i="7"/>
  <c r="AN82" i="7"/>
  <c r="AN83" i="7"/>
  <c r="AN84" i="7"/>
  <c r="AN85" i="7"/>
  <c r="AN86" i="7"/>
  <c r="AN87" i="7"/>
  <c r="AN88" i="7"/>
  <c r="AN89" i="7"/>
  <c r="AN90" i="7"/>
  <c r="AN91" i="7"/>
  <c r="AN92" i="7"/>
  <c r="AN28" i="7"/>
  <c r="AL18" i="7"/>
  <c r="AL20" i="7"/>
  <c r="AL21" i="7"/>
  <c r="AL22" i="7"/>
  <c r="AL23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54" i="7"/>
  <c r="AL55" i="7"/>
  <c r="AL56" i="7"/>
  <c r="AL57" i="7"/>
  <c r="AL58" i="7"/>
  <c r="AL59" i="7"/>
  <c r="AL60" i="7"/>
  <c r="AL61" i="7"/>
  <c r="AL62" i="7"/>
  <c r="AL63" i="7"/>
  <c r="AL64" i="7"/>
  <c r="AL65" i="7"/>
  <c r="AL66" i="7"/>
  <c r="AL67" i="7"/>
  <c r="AL68" i="7"/>
  <c r="AL69" i="7"/>
  <c r="AL70" i="7"/>
  <c r="AL71" i="7"/>
  <c r="AL72" i="7"/>
  <c r="AL73" i="7"/>
  <c r="AL74" i="7"/>
  <c r="AL75" i="7"/>
  <c r="AL76" i="7"/>
  <c r="AL77" i="7"/>
  <c r="AL78" i="7"/>
  <c r="AL79" i="7"/>
  <c r="AL80" i="7"/>
  <c r="AL81" i="7"/>
  <c r="AL82" i="7"/>
  <c r="AL83" i="7"/>
  <c r="AL84" i="7"/>
  <c r="AL85" i="7"/>
  <c r="AL86" i="7"/>
  <c r="AL87" i="7"/>
  <c r="AL88" i="7"/>
  <c r="AL89" i="7"/>
  <c r="AL90" i="7"/>
  <c r="AL91" i="7"/>
  <c r="AL92" i="7"/>
  <c r="AL25" i="7"/>
  <c r="AL24" i="7"/>
  <c r="AG93" i="7"/>
  <c r="AK93" i="7"/>
  <c r="Z52" i="8" l="1"/>
  <c r="Z40" i="8"/>
  <c r="S52" i="8"/>
  <c r="R55" i="8"/>
  <c r="L73" i="8"/>
  <c r="Z25" i="8"/>
  <c r="AN93" i="7"/>
  <c r="AL93" i="7"/>
  <c r="AH18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36" i="7"/>
  <c r="AH37" i="7"/>
  <c r="AH38" i="7"/>
  <c r="AH39" i="7"/>
  <c r="AH40" i="7"/>
  <c r="AH41" i="7"/>
  <c r="AH42" i="7"/>
  <c r="AH43" i="7"/>
  <c r="AH44" i="7"/>
  <c r="AH45" i="7"/>
  <c r="AH46" i="7"/>
  <c r="AH47" i="7"/>
  <c r="AH48" i="7"/>
  <c r="AH49" i="7"/>
  <c r="AH50" i="7"/>
  <c r="AH51" i="7"/>
  <c r="AH52" i="7"/>
  <c r="AH53" i="7"/>
  <c r="AH54" i="7"/>
  <c r="AH55" i="7"/>
  <c r="AH56" i="7"/>
  <c r="AH57" i="7"/>
  <c r="AH58" i="7"/>
  <c r="AH59" i="7"/>
  <c r="AH60" i="7"/>
  <c r="AH61" i="7"/>
  <c r="AH62" i="7"/>
  <c r="AH63" i="7"/>
  <c r="AH64" i="7"/>
  <c r="AH65" i="7"/>
  <c r="AH66" i="7"/>
  <c r="AH67" i="7"/>
  <c r="AH68" i="7"/>
  <c r="AH69" i="7"/>
  <c r="AH70" i="7"/>
  <c r="AH71" i="7"/>
  <c r="AH72" i="7"/>
  <c r="AH73" i="7"/>
  <c r="AH74" i="7"/>
  <c r="AH75" i="7"/>
  <c r="AH76" i="7"/>
  <c r="AH77" i="7"/>
  <c r="AH78" i="7"/>
  <c r="AH79" i="7"/>
  <c r="AH80" i="7"/>
  <c r="AH81" i="7"/>
  <c r="AH82" i="7"/>
  <c r="AH83" i="7"/>
  <c r="AH84" i="7"/>
  <c r="AH85" i="7"/>
  <c r="AH86" i="7"/>
  <c r="AH87" i="7"/>
  <c r="AH88" i="7"/>
  <c r="AH89" i="7"/>
  <c r="AH90" i="7"/>
  <c r="AH91" i="7"/>
  <c r="AH92" i="7"/>
  <c r="AH20" i="7"/>
  <c r="S55" i="8" l="1"/>
  <c r="T52" i="8"/>
  <c r="AH93" i="7"/>
  <c r="BG93" i="7"/>
  <c r="BF93" i="7"/>
  <c r="BK93" i="7"/>
  <c r="BI93" i="7"/>
  <c r="BH93" i="7"/>
  <c r="AY33" i="7"/>
  <c r="AY34" i="7"/>
  <c r="AY35" i="7"/>
  <c r="AY36" i="7"/>
  <c r="AY37" i="7"/>
  <c r="AY38" i="7"/>
  <c r="AY39" i="7"/>
  <c r="AY40" i="7"/>
  <c r="AY41" i="7"/>
  <c r="AY42" i="7"/>
  <c r="AY43" i="7"/>
  <c r="AY44" i="7"/>
  <c r="AY45" i="7"/>
  <c r="AY46" i="7"/>
  <c r="AY47" i="7"/>
  <c r="AY48" i="7"/>
  <c r="AY49" i="7"/>
  <c r="AY50" i="7"/>
  <c r="AY51" i="7"/>
  <c r="AY52" i="7"/>
  <c r="AY53" i="7"/>
  <c r="AY54" i="7"/>
  <c r="AY55" i="7"/>
  <c r="AY56" i="7"/>
  <c r="AY57" i="7"/>
  <c r="AY58" i="7"/>
  <c r="AY59" i="7"/>
  <c r="AY60" i="7"/>
  <c r="AY61" i="7"/>
  <c r="AY62" i="7"/>
  <c r="AY63" i="7"/>
  <c r="AY64" i="7"/>
  <c r="AY65" i="7"/>
  <c r="AY66" i="7"/>
  <c r="AY67" i="7"/>
  <c r="AY68" i="7"/>
  <c r="AY69" i="7"/>
  <c r="AY70" i="7"/>
  <c r="AY71" i="7"/>
  <c r="AY72" i="7"/>
  <c r="AY73" i="7"/>
  <c r="AY74" i="7"/>
  <c r="AY75" i="7"/>
  <c r="AY76" i="7"/>
  <c r="AY77" i="7"/>
  <c r="AY78" i="7"/>
  <c r="AY79" i="7"/>
  <c r="AY80" i="7"/>
  <c r="AY81" i="7"/>
  <c r="AY82" i="7"/>
  <c r="AY83" i="7"/>
  <c r="AY84" i="7"/>
  <c r="AY85" i="7"/>
  <c r="AY86" i="7"/>
  <c r="AY87" i="7"/>
  <c r="AY88" i="7"/>
  <c r="AY89" i="7"/>
  <c r="AY90" i="7"/>
  <c r="AY91" i="7"/>
  <c r="AY92" i="7"/>
  <c r="AY20" i="7"/>
  <c r="AY21" i="7"/>
  <c r="AY22" i="7"/>
  <c r="AY23" i="7"/>
  <c r="AY24" i="7"/>
  <c r="AY25" i="7"/>
  <c r="AY26" i="7"/>
  <c r="AY27" i="7"/>
  <c r="AY28" i="7"/>
  <c r="AY29" i="7"/>
  <c r="AY30" i="7"/>
  <c r="AY31" i="7"/>
  <c r="AY32" i="7"/>
  <c r="AY18" i="7"/>
  <c r="AW20" i="7"/>
  <c r="AW21" i="7"/>
  <c r="AW22" i="7"/>
  <c r="AW23" i="7"/>
  <c r="AW24" i="7"/>
  <c r="AW25" i="7"/>
  <c r="AW26" i="7"/>
  <c r="AW27" i="7"/>
  <c r="AW28" i="7"/>
  <c r="AW29" i="7"/>
  <c r="AW30" i="7"/>
  <c r="AW31" i="7"/>
  <c r="AW32" i="7"/>
  <c r="AW33" i="7"/>
  <c r="AW34" i="7"/>
  <c r="AW35" i="7"/>
  <c r="AW36" i="7"/>
  <c r="AW37" i="7"/>
  <c r="AW38" i="7"/>
  <c r="AW39" i="7"/>
  <c r="AW40" i="7"/>
  <c r="AW41" i="7"/>
  <c r="AW42" i="7"/>
  <c r="AW43" i="7"/>
  <c r="AW44" i="7"/>
  <c r="AW45" i="7"/>
  <c r="AW46" i="7"/>
  <c r="AW47" i="7"/>
  <c r="AW48" i="7"/>
  <c r="AW49" i="7"/>
  <c r="AW50" i="7"/>
  <c r="AW51" i="7"/>
  <c r="AW52" i="7"/>
  <c r="AW53" i="7"/>
  <c r="AW54" i="7"/>
  <c r="AW55" i="7"/>
  <c r="AW56" i="7"/>
  <c r="AW57" i="7"/>
  <c r="AW58" i="7"/>
  <c r="AW59" i="7"/>
  <c r="AW60" i="7"/>
  <c r="AW61" i="7"/>
  <c r="AW62" i="7"/>
  <c r="AW63" i="7"/>
  <c r="AW64" i="7"/>
  <c r="AW65" i="7"/>
  <c r="AW66" i="7"/>
  <c r="AW67" i="7"/>
  <c r="AW68" i="7"/>
  <c r="AW69" i="7"/>
  <c r="AW70" i="7"/>
  <c r="AW71" i="7"/>
  <c r="AW72" i="7"/>
  <c r="AW73" i="7"/>
  <c r="AW74" i="7"/>
  <c r="AW75" i="7"/>
  <c r="AW76" i="7"/>
  <c r="AW77" i="7"/>
  <c r="AW78" i="7"/>
  <c r="AW79" i="7"/>
  <c r="AW80" i="7"/>
  <c r="AW81" i="7"/>
  <c r="AW82" i="7"/>
  <c r="AW83" i="7"/>
  <c r="AW84" i="7"/>
  <c r="AW85" i="7"/>
  <c r="AW86" i="7"/>
  <c r="AW87" i="7"/>
  <c r="AW88" i="7"/>
  <c r="AW89" i="7"/>
  <c r="AW90" i="7"/>
  <c r="AW91" i="7"/>
  <c r="AW92" i="7"/>
  <c r="AW18" i="7"/>
  <c r="T55" i="8" l="1"/>
  <c r="AY93" i="7"/>
  <c r="AW93" i="7"/>
  <c r="AV93" i="7"/>
  <c r="BA93" i="7"/>
  <c r="AE93" i="7"/>
  <c r="K20" i="7"/>
  <c r="K18" i="7"/>
  <c r="M93" i="7"/>
  <c r="N93" i="7"/>
  <c r="O93" i="7"/>
  <c r="S93" i="7"/>
  <c r="T93" i="7"/>
  <c r="U93" i="7"/>
  <c r="V93" i="7"/>
  <c r="W93" i="7"/>
  <c r="X93" i="7"/>
  <c r="Y93" i="7"/>
  <c r="AA93" i="7"/>
  <c r="AC93" i="7"/>
  <c r="L33" i="7"/>
  <c r="L34" i="7"/>
  <c r="AS34" i="7" s="1"/>
  <c r="L35" i="7"/>
  <c r="L36" i="7"/>
  <c r="AS36" i="7" s="1"/>
  <c r="L37" i="7"/>
  <c r="L38" i="7"/>
  <c r="AS38" i="7" s="1"/>
  <c r="L39" i="7"/>
  <c r="L40" i="7"/>
  <c r="AS40" i="7" s="1"/>
  <c r="L41" i="7"/>
  <c r="AS41" i="7" s="1"/>
  <c r="L42" i="7"/>
  <c r="L43" i="7"/>
  <c r="L44" i="7"/>
  <c r="AS44" i="7" s="1"/>
  <c r="L45" i="7"/>
  <c r="AS45" i="7" s="1"/>
  <c r="L46" i="7"/>
  <c r="L47" i="7"/>
  <c r="AS47" i="7" s="1"/>
  <c r="L48" i="7"/>
  <c r="L49" i="7"/>
  <c r="AS49" i="7" s="1"/>
  <c r="L50" i="7"/>
  <c r="L51" i="7"/>
  <c r="AS51" i="7" s="1"/>
  <c r="L52" i="7"/>
  <c r="AS52" i="7" s="1"/>
  <c r="L53" i="7"/>
  <c r="L54" i="7"/>
  <c r="L55" i="7"/>
  <c r="AS55" i="7" s="1"/>
  <c r="L56" i="7"/>
  <c r="AS56" i="7" s="1"/>
  <c r="L57" i="7"/>
  <c r="AS57" i="7" s="1"/>
  <c r="L58" i="7"/>
  <c r="L59" i="7"/>
  <c r="AS59" i="7" s="1"/>
  <c r="L60" i="7"/>
  <c r="AS60" i="7" s="1"/>
  <c r="L61" i="7"/>
  <c r="AS61" i="7" s="1"/>
  <c r="L62" i="7"/>
  <c r="AS62" i="7" s="1"/>
  <c r="L63" i="7"/>
  <c r="L64" i="7"/>
  <c r="AS64" i="7" s="1"/>
  <c r="L65" i="7"/>
  <c r="L66" i="7"/>
  <c r="L67" i="7"/>
  <c r="AS67" i="7" s="1"/>
  <c r="L68" i="7"/>
  <c r="L69" i="7"/>
  <c r="L70" i="7"/>
  <c r="AS70" i="7" s="1"/>
  <c r="L71" i="7"/>
  <c r="AS71" i="7" s="1"/>
  <c r="L72" i="7"/>
  <c r="L73" i="7"/>
  <c r="AS73" i="7" s="1"/>
  <c r="L74" i="7"/>
  <c r="L75" i="7"/>
  <c r="L76" i="7"/>
  <c r="AS76" i="7" s="1"/>
  <c r="L77" i="7"/>
  <c r="L78" i="7"/>
  <c r="L79" i="7"/>
  <c r="L80" i="7"/>
  <c r="AS80" i="7" s="1"/>
  <c r="L81" i="7"/>
  <c r="AS81" i="7" s="1"/>
  <c r="L82" i="7"/>
  <c r="L83" i="7"/>
  <c r="L84" i="7"/>
  <c r="L85" i="7"/>
  <c r="AS85" i="7" s="1"/>
  <c r="L86" i="7"/>
  <c r="AS86" i="7" s="1"/>
  <c r="L87" i="7"/>
  <c r="AS87" i="7" s="1"/>
  <c r="L88" i="7"/>
  <c r="L89" i="7"/>
  <c r="L90" i="7"/>
  <c r="L91" i="7"/>
  <c r="L92" i="7"/>
  <c r="AS92" i="7" s="1"/>
  <c r="L20" i="7"/>
  <c r="AS20" i="7" s="1"/>
  <c r="L21" i="7"/>
  <c r="AS21" i="7" s="1"/>
  <c r="L22" i="7"/>
  <c r="AS22" i="7" s="1"/>
  <c r="L23" i="7"/>
  <c r="L24" i="7"/>
  <c r="AS24" i="7" s="1"/>
  <c r="L25" i="7"/>
  <c r="L26" i="7"/>
  <c r="L27" i="7"/>
  <c r="L28" i="7"/>
  <c r="AS28" i="7" s="1"/>
  <c r="L29" i="7"/>
  <c r="AS29" i="7" s="1"/>
  <c r="L30" i="7"/>
  <c r="L31" i="7"/>
  <c r="AS31" i="7" s="1"/>
  <c r="L32" i="7"/>
  <c r="L18" i="7"/>
  <c r="AD20" i="7" l="1"/>
  <c r="U55" i="8"/>
  <c r="L93" i="7"/>
  <c r="AF18" i="7"/>
  <c r="Z18" i="7"/>
  <c r="BC20" i="7"/>
  <c r="AF20" i="7"/>
  <c r="Z20" i="7"/>
  <c r="AS93" i="7"/>
  <c r="BC18" i="7"/>
  <c r="AT18" i="7"/>
  <c r="AD18" i="7"/>
  <c r="AT20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AF57" i="7" s="1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AD54" i="7" l="1"/>
  <c r="AF44" i="7"/>
  <c r="Z44" i="7"/>
  <c r="AF48" i="7"/>
  <c r="Z48" i="7"/>
  <c r="AF51" i="7"/>
  <c r="Z51" i="7"/>
  <c r="AF55" i="7"/>
  <c r="Z55" i="7"/>
  <c r="AF59" i="7"/>
  <c r="Z59" i="7"/>
  <c r="AF61" i="7"/>
  <c r="Z61" i="7"/>
  <c r="AF63" i="7"/>
  <c r="Z63" i="7"/>
  <c r="AF65" i="7"/>
  <c r="Z65" i="7"/>
  <c r="AF67" i="7"/>
  <c r="Z67" i="7"/>
  <c r="AF69" i="7"/>
  <c r="Z69" i="7"/>
  <c r="AF71" i="7"/>
  <c r="Z71" i="7"/>
  <c r="AF73" i="7"/>
  <c r="Z73" i="7"/>
  <c r="AF75" i="7"/>
  <c r="Z75" i="7"/>
  <c r="AF77" i="7"/>
  <c r="Z77" i="7"/>
  <c r="AF79" i="7"/>
  <c r="Z79" i="7"/>
  <c r="AF81" i="7"/>
  <c r="Z81" i="7"/>
  <c r="AF83" i="7"/>
  <c r="Z83" i="7"/>
  <c r="AF85" i="7"/>
  <c r="Z85" i="7"/>
  <c r="AF87" i="7"/>
  <c r="Z87" i="7"/>
  <c r="AF89" i="7"/>
  <c r="Z89" i="7"/>
  <c r="AF91" i="7"/>
  <c r="Z91" i="7"/>
  <c r="AF46" i="7"/>
  <c r="Z46" i="7"/>
  <c r="AF53" i="7"/>
  <c r="Z53" i="7"/>
  <c r="AF45" i="7"/>
  <c r="Z45" i="7"/>
  <c r="AF47" i="7"/>
  <c r="Z47" i="7"/>
  <c r="AF49" i="7"/>
  <c r="Z49" i="7"/>
  <c r="AF50" i="7"/>
  <c r="Z50" i="7"/>
  <c r="AF52" i="7"/>
  <c r="Z52" i="7"/>
  <c r="AF54" i="7"/>
  <c r="Z54" i="7"/>
  <c r="AF56" i="7"/>
  <c r="Z56" i="7"/>
  <c r="AF58" i="7"/>
  <c r="Z58" i="7"/>
  <c r="AF60" i="7"/>
  <c r="Z60" i="7"/>
  <c r="AF62" i="7"/>
  <c r="Z62" i="7"/>
  <c r="AF64" i="7"/>
  <c r="Z64" i="7"/>
  <c r="AF66" i="7"/>
  <c r="Z66" i="7"/>
  <c r="AF68" i="7"/>
  <c r="Z68" i="7"/>
  <c r="AF70" i="7"/>
  <c r="Z70" i="7"/>
  <c r="AF72" i="7"/>
  <c r="Z72" i="7"/>
  <c r="AF74" i="7"/>
  <c r="Z74" i="7"/>
  <c r="AF76" i="7"/>
  <c r="Z76" i="7"/>
  <c r="AF78" i="7"/>
  <c r="Z78" i="7"/>
  <c r="AF80" i="7"/>
  <c r="Z80" i="7"/>
  <c r="AF82" i="7"/>
  <c r="Z82" i="7"/>
  <c r="AF84" i="7"/>
  <c r="Z84" i="7"/>
  <c r="AF86" i="7"/>
  <c r="Z86" i="7"/>
  <c r="AF88" i="7"/>
  <c r="Z88" i="7"/>
  <c r="AF90" i="7"/>
  <c r="Z90" i="7"/>
  <c r="AF92" i="7"/>
  <c r="Z92" i="7"/>
  <c r="BC49" i="7"/>
  <c r="AD49" i="7"/>
  <c r="AT49" i="7"/>
  <c r="BC60" i="7"/>
  <c r="AD60" i="7"/>
  <c r="AT60" i="7"/>
  <c r="BC68" i="7"/>
  <c r="AD68" i="7"/>
  <c r="AT68" i="7"/>
  <c r="BC76" i="7"/>
  <c r="AD76" i="7"/>
  <c r="AT76" i="7"/>
  <c r="BC84" i="7"/>
  <c r="AD84" i="7"/>
  <c r="BC92" i="7"/>
  <c r="AD92" i="7"/>
  <c r="AT92" i="7"/>
  <c r="BC53" i="7"/>
  <c r="AT53" i="7"/>
  <c r="AD53" i="7"/>
  <c r="BC61" i="7"/>
  <c r="AT61" i="7"/>
  <c r="AD61" i="7"/>
  <c r="BC65" i="7"/>
  <c r="AT65" i="7"/>
  <c r="AD65" i="7"/>
  <c r="BC69" i="7"/>
  <c r="AT69" i="7"/>
  <c r="AD69" i="7"/>
  <c r="BC73" i="7"/>
  <c r="AT73" i="7"/>
  <c r="AD73" i="7"/>
  <c r="BC77" i="7"/>
  <c r="AT77" i="7"/>
  <c r="AD77" i="7"/>
  <c r="BC81" i="7"/>
  <c r="AT81" i="7"/>
  <c r="AD81" i="7"/>
  <c r="BC85" i="7"/>
  <c r="AT85" i="7"/>
  <c r="AD85" i="7"/>
  <c r="BC89" i="7"/>
  <c r="AT89" i="7"/>
  <c r="AD89" i="7"/>
  <c r="BC56" i="7"/>
  <c r="AD56" i="7"/>
  <c r="AT56" i="7"/>
  <c r="BC50" i="7"/>
  <c r="AT50" i="7"/>
  <c r="AD50" i="7"/>
  <c r="BC58" i="7"/>
  <c r="AT58" i="7"/>
  <c r="AD58" i="7"/>
  <c r="BC62" i="7"/>
  <c r="AT62" i="7"/>
  <c r="AD62" i="7"/>
  <c r="BC66" i="7"/>
  <c r="AD66" i="7"/>
  <c r="BC70" i="7"/>
  <c r="AT70" i="7"/>
  <c r="AD70" i="7"/>
  <c r="BC74" i="7"/>
  <c r="AT74" i="7"/>
  <c r="AD74" i="7"/>
  <c r="BC78" i="7"/>
  <c r="AT78" i="7"/>
  <c r="AD78" i="7"/>
  <c r="BC82" i="7"/>
  <c r="AT82" i="7"/>
  <c r="AD82" i="7"/>
  <c r="BC86" i="7"/>
  <c r="AT86" i="7"/>
  <c r="AD86" i="7"/>
  <c r="BC90" i="7"/>
  <c r="AT90" i="7"/>
  <c r="AD90" i="7"/>
  <c r="BC45" i="7"/>
  <c r="AD45" i="7"/>
  <c r="AT45" i="7"/>
  <c r="BC52" i="7"/>
  <c r="AD52" i="7"/>
  <c r="AT52" i="7"/>
  <c r="BC64" i="7"/>
  <c r="AD64" i="7"/>
  <c r="AT64" i="7"/>
  <c r="BC72" i="7"/>
  <c r="AD72" i="7"/>
  <c r="AT72" i="7"/>
  <c r="BC80" i="7"/>
  <c r="AD80" i="7"/>
  <c r="AT80" i="7"/>
  <c r="BC88" i="7"/>
  <c r="AD88" i="7"/>
  <c r="AT88" i="7"/>
  <c r="BC46" i="7"/>
  <c r="AD46" i="7"/>
  <c r="BC57" i="7"/>
  <c r="AT57" i="7"/>
  <c r="Z57" i="7"/>
  <c r="AD57" i="7"/>
  <c r="AB57" i="7"/>
  <c r="BC47" i="7"/>
  <c r="AT47" i="7"/>
  <c r="AD47" i="7"/>
  <c r="BC54" i="7"/>
  <c r="AT54" i="7"/>
  <c r="BC44" i="7"/>
  <c r="AT44" i="7"/>
  <c r="AD44" i="7"/>
  <c r="BC48" i="7"/>
  <c r="AT48" i="7"/>
  <c r="AD48" i="7"/>
  <c r="BC51" i="7"/>
  <c r="AT51" i="7"/>
  <c r="AD51" i="7"/>
  <c r="BC55" i="7"/>
  <c r="AT55" i="7"/>
  <c r="AD55" i="7"/>
  <c r="BC59" i="7"/>
  <c r="AT59" i="7"/>
  <c r="AD59" i="7"/>
  <c r="BC63" i="7"/>
  <c r="AT63" i="7"/>
  <c r="AD63" i="7"/>
  <c r="BC67" i="7"/>
  <c r="AT67" i="7"/>
  <c r="AD67" i="7"/>
  <c r="BC71" i="7"/>
  <c r="AT71" i="7"/>
  <c r="AD71" i="7"/>
  <c r="BC75" i="7"/>
  <c r="AT75" i="7"/>
  <c r="AD75" i="7"/>
  <c r="BC79" i="7"/>
  <c r="AT79" i="7"/>
  <c r="AD79" i="7"/>
  <c r="BC83" i="7"/>
  <c r="AT83" i="7"/>
  <c r="AD83" i="7"/>
  <c r="BC87" i="7"/>
  <c r="AT87" i="7"/>
  <c r="AD87" i="7"/>
  <c r="BC91" i="7"/>
  <c r="AT91" i="7"/>
  <c r="AD91" i="7"/>
  <c r="Q50" i="7"/>
  <c r="P50" i="7"/>
  <c r="R50" i="7"/>
  <c r="AB50" i="7"/>
  <c r="AB62" i="7"/>
  <c r="Q62" i="7"/>
  <c r="P62" i="7"/>
  <c r="R62" i="7"/>
  <c r="Q74" i="7"/>
  <c r="P74" i="7"/>
  <c r="AB74" i="7"/>
  <c r="R74" i="7"/>
  <c r="Q82" i="7"/>
  <c r="P82" i="7"/>
  <c r="AB82" i="7"/>
  <c r="R82" i="7"/>
  <c r="AB48" i="7"/>
  <c r="Q48" i="7"/>
  <c r="P48" i="7"/>
  <c r="R48" i="7"/>
  <c r="AB55" i="7"/>
  <c r="Q55" i="7"/>
  <c r="P55" i="7"/>
  <c r="R55" i="7"/>
  <c r="AB67" i="7"/>
  <c r="Q67" i="7"/>
  <c r="P67" i="7"/>
  <c r="R67" i="7"/>
  <c r="AB71" i="7"/>
  <c r="Q71" i="7"/>
  <c r="P71" i="7"/>
  <c r="R71" i="7"/>
  <c r="AB79" i="7"/>
  <c r="Q79" i="7"/>
  <c r="P79" i="7"/>
  <c r="R79" i="7"/>
  <c r="AB83" i="7"/>
  <c r="Q83" i="7"/>
  <c r="P83" i="7"/>
  <c r="R83" i="7"/>
  <c r="AB87" i="7"/>
  <c r="Q87" i="7"/>
  <c r="P87" i="7"/>
  <c r="R87" i="7"/>
  <c r="AB91" i="7"/>
  <c r="Q91" i="7"/>
  <c r="P91" i="7"/>
  <c r="R91" i="7"/>
  <c r="AB54" i="7"/>
  <c r="Q54" i="7"/>
  <c r="P54" i="7"/>
  <c r="R54" i="7"/>
  <c r="Q66" i="7"/>
  <c r="P66" i="7"/>
  <c r="AB66" i="7"/>
  <c r="R66" i="7"/>
  <c r="AB78" i="7"/>
  <c r="Q78" i="7"/>
  <c r="P78" i="7"/>
  <c r="R78" i="7"/>
  <c r="AB86" i="7"/>
  <c r="Q86" i="7"/>
  <c r="P86" i="7"/>
  <c r="R86" i="7"/>
  <c r="AB44" i="7"/>
  <c r="Q44" i="7"/>
  <c r="P44" i="7"/>
  <c r="R44" i="7"/>
  <c r="AB51" i="7"/>
  <c r="Q51" i="7"/>
  <c r="P51" i="7"/>
  <c r="R51" i="7"/>
  <c r="AB59" i="7"/>
  <c r="Q59" i="7"/>
  <c r="P59" i="7"/>
  <c r="R59" i="7"/>
  <c r="AB63" i="7"/>
  <c r="Q63" i="7"/>
  <c r="P63" i="7"/>
  <c r="R63" i="7"/>
  <c r="AB75" i="7"/>
  <c r="Q75" i="7"/>
  <c r="P75" i="7"/>
  <c r="R75" i="7"/>
  <c r="R45" i="7"/>
  <c r="AB45" i="7"/>
  <c r="P45" i="7"/>
  <c r="Q45" i="7"/>
  <c r="R49" i="7"/>
  <c r="AB49" i="7"/>
  <c r="Q49" i="7"/>
  <c r="P49" i="7"/>
  <c r="R52" i="7"/>
  <c r="AB52" i="7"/>
  <c r="Q52" i="7"/>
  <c r="P52" i="7"/>
  <c r="R56" i="7"/>
  <c r="AB56" i="7"/>
  <c r="Q56" i="7"/>
  <c r="P56" i="7"/>
  <c r="R60" i="7"/>
  <c r="AB60" i="7"/>
  <c r="P60" i="7"/>
  <c r="Q60" i="7"/>
  <c r="R64" i="7"/>
  <c r="AB64" i="7"/>
  <c r="Q64" i="7"/>
  <c r="P64" i="7"/>
  <c r="R68" i="7"/>
  <c r="AB68" i="7"/>
  <c r="Q68" i="7"/>
  <c r="P68" i="7"/>
  <c r="R72" i="7"/>
  <c r="AB72" i="7"/>
  <c r="Q72" i="7"/>
  <c r="P72" i="7"/>
  <c r="R76" i="7"/>
  <c r="AB76" i="7"/>
  <c r="P76" i="7"/>
  <c r="Q76" i="7"/>
  <c r="R80" i="7"/>
  <c r="AB80" i="7"/>
  <c r="Q80" i="7"/>
  <c r="P80" i="7"/>
  <c r="R84" i="7"/>
  <c r="AB84" i="7"/>
  <c r="Q84" i="7"/>
  <c r="P84" i="7"/>
  <c r="R88" i="7"/>
  <c r="AB88" i="7"/>
  <c r="Q88" i="7"/>
  <c r="P88" i="7"/>
  <c r="R92" i="7"/>
  <c r="AB92" i="7"/>
  <c r="P92" i="7"/>
  <c r="Q92" i="7"/>
  <c r="Q47" i="7"/>
  <c r="P47" i="7"/>
  <c r="R47" i="7"/>
  <c r="AB47" i="7"/>
  <c r="Q58" i="7"/>
  <c r="P58" i="7"/>
  <c r="AB58" i="7"/>
  <c r="R58" i="7"/>
  <c r="AB70" i="7"/>
  <c r="Q70" i="7"/>
  <c r="P70" i="7"/>
  <c r="R70" i="7"/>
  <c r="Q90" i="7"/>
  <c r="P90" i="7"/>
  <c r="AB90" i="7"/>
  <c r="R90" i="7"/>
  <c r="Q46" i="7"/>
  <c r="P46" i="7"/>
  <c r="R46" i="7"/>
  <c r="AB46" i="7"/>
  <c r="Q53" i="7"/>
  <c r="P53" i="7"/>
  <c r="R53" i="7"/>
  <c r="AB53" i="7"/>
  <c r="Q57" i="7"/>
  <c r="P57" i="7"/>
  <c r="R57" i="7"/>
  <c r="Q61" i="7"/>
  <c r="P61" i="7"/>
  <c r="R61" i="7"/>
  <c r="AB61" i="7"/>
  <c r="Q65" i="7"/>
  <c r="P65" i="7"/>
  <c r="R65" i="7"/>
  <c r="AB65" i="7"/>
  <c r="Q69" i="7"/>
  <c r="P69" i="7"/>
  <c r="R69" i="7"/>
  <c r="AB69" i="7"/>
  <c r="Q73" i="7"/>
  <c r="P73" i="7"/>
  <c r="R73" i="7"/>
  <c r="AB73" i="7"/>
  <c r="Q77" i="7"/>
  <c r="P77" i="7"/>
  <c r="R77" i="7"/>
  <c r="AB77" i="7"/>
  <c r="Q81" i="7"/>
  <c r="P81" i="7"/>
  <c r="R81" i="7"/>
  <c r="AB81" i="7"/>
  <c r="Q85" i="7"/>
  <c r="P85" i="7"/>
  <c r="R85" i="7"/>
  <c r="AB85" i="7"/>
  <c r="Q89" i="7"/>
  <c r="P89" i="7"/>
  <c r="R89" i="7"/>
  <c r="AB89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BM56" i="7" l="1"/>
  <c r="BM53" i="7"/>
  <c r="BM46" i="7"/>
  <c r="BM47" i="7"/>
  <c r="BM50" i="7"/>
  <c r="BM80" i="7"/>
  <c r="BM72" i="7"/>
  <c r="AF21" i="7"/>
  <c r="Z21" i="7"/>
  <c r="AF25" i="7"/>
  <c r="Z25" i="7"/>
  <c r="AF27" i="7"/>
  <c r="Z27" i="7"/>
  <c r="AF29" i="7"/>
  <c r="Z29" i="7"/>
  <c r="AF33" i="7"/>
  <c r="Z33" i="7"/>
  <c r="AF35" i="7"/>
  <c r="Z35" i="7"/>
  <c r="AF39" i="7"/>
  <c r="Z39" i="7"/>
  <c r="AF41" i="7"/>
  <c r="Z41" i="7"/>
  <c r="AF22" i="7"/>
  <c r="Z22" i="7"/>
  <c r="AF24" i="7"/>
  <c r="Z24" i="7"/>
  <c r="AF26" i="7"/>
  <c r="Z26" i="7"/>
  <c r="AF28" i="7"/>
  <c r="Z28" i="7"/>
  <c r="AF30" i="7"/>
  <c r="Z30" i="7"/>
  <c r="AF32" i="7"/>
  <c r="Z32" i="7"/>
  <c r="AF34" i="7"/>
  <c r="Z34" i="7"/>
  <c r="AF36" i="7"/>
  <c r="Z36" i="7"/>
  <c r="AF38" i="7"/>
  <c r="Z38" i="7"/>
  <c r="AF40" i="7"/>
  <c r="Z40" i="7"/>
  <c r="AF42" i="7"/>
  <c r="Z42" i="7"/>
  <c r="BM89" i="7"/>
  <c r="BM81" i="7"/>
  <c r="BM77" i="7"/>
  <c r="BM73" i="7"/>
  <c r="BM65" i="7"/>
  <c r="BM61" i="7"/>
  <c r="BM70" i="7"/>
  <c r="BM76" i="7"/>
  <c r="BM45" i="7"/>
  <c r="BM63" i="7"/>
  <c r="BM59" i="7"/>
  <c r="BM51" i="7"/>
  <c r="BM78" i="7"/>
  <c r="BM54" i="7"/>
  <c r="BM87" i="7"/>
  <c r="BM83" i="7"/>
  <c r="BM79" i="7"/>
  <c r="BM48" i="7"/>
  <c r="BM91" i="7"/>
  <c r="BM57" i="7"/>
  <c r="BM88" i="7"/>
  <c r="BM64" i="7"/>
  <c r="BM52" i="7"/>
  <c r="BM85" i="7"/>
  <c r="BM69" i="7"/>
  <c r="BM92" i="7"/>
  <c r="BM84" i="7"/>
  <c r="BM68" i="7"/>
  <c r="BM60" i="7"/>
  <c r="BM49" i="7"/>
  <c r="AF23" i="7"/>
  <c r="Z23" i="7"/>
  <c r="AF31" i="7"/>
  <c r="Z31" i="7"/>
  <c r="AF37" i="7"/>
  <c r="Z37" i="7"/>
  <c r="AF43" i="7"/>
  <c r="Z43" i="7"/>
  <c r="BM90" i="7"/>
  <c r="BM66" i="7"/>
  <c r="BM82" i="7"/>
  <c r="BM74" i="7"/>
  <c r="BM75" i="7"/>
  <c r="BM71" i="7"/>
  <c r="BM67" i="7"/>
  <c r="BM55" i="7"/>
  <c r="BM44" i="7"/>
  <c r="BM86" i="7"/>
  <c r="BM62" i="7"/>
  <c r="BM58" i="7"/>
  <c r="BC24" i="7"/>
  <c r="AT24" i="7"/>
  <c r="AD24" i="7"/>
  <c r="BC32" i="7"/>
  <c r="AT32" i="7"/>
  <c r="AD32" i="7"/>
  <c r="BC40" i="7"/>
  <c r="AT40" i="7"/>
  <c r="AD40" i="7"/>
  <c r="BC25" i="7"/>
  <c r="AD25" i="7"/>
  <c r="BC37" i="7"/>
  <c r="AD37" i="7"/>
  <c r="AT37" i="7"/>
  <c r="BC26" i="7"/>
  <c r="AT26" i="7"/>
  <c r="AD26" i="7"/>
  <c r="BC42" i="7"/>
  <c r="AT42" i="7"/>
  <c r="AD42" i="7"/>
  <c r="BC28" i="7"/>
  <c r="AT28" i="7"/>
  <c r="AD28" i="7"/>
  <c r="BC36" i="7"/>
  <c r="AT36" i="7"/>
  <c r="AD36" i="7"/>
  <c r="BC21" i="7"/>
  <c r="AD21" i="7"/>
  <c r="AT21" i="7"/>
  <c r="BC29" i="7"/>
  <c r="AD29" i="7"/>
  <c r="AT29" i="7"/>
  <c r="BC33" i="7"/>
  <c r="AD33" i="7"/>
  <c r="AT33" i="7"/>
  <c r="BC41" i="7"/>
  <c r="AD41" i="7"/>
  <c r="AT41" i="7"/>
  <c r="BC22" i="7"/>
  <c r="AT22" i="7"/>
  <c r="AD22" i="7"/>
  <c r="BC30" i="7"/>
  <c r="AD30" i="7"/>
  <c r="BC34" i="7"/>
  <c r="AT34" i="7"/>
  <c r="AD34" i="7"/>
  <c r="BC38" i="7"/>
  <c r="AT38" i="7"/>
  <c r="AD38" i="7"/>
  <c r="BC23" i="7"/>
  <c r="AT23" i="7"/>
  <c r="AD23" i="7"/>
  <c r="BC27" i="7"/>
  <c r="AT27" i="7"/>
  <c r="AD27" i="7"/>
  <c r="BC31" i="7"/>
  <c r="AT31" i="7"/>
  <c r="AD31" i="7"/>
  <c r="BC35" i="7"/>
  <c r="AT35" i="7"/>
  <c r="AD35" i="7"/>
  <c r="BC39" i="7"/>
  <c r="AD39" i="7"/>
  <c r="BC43" i="7"/>
  <c r="AT43" i="7"/>
  <c r="AD43" i="7"/>
  <c r="R21" i="7"/>
  <c r="P21" i="7"/>
  <c r="AB21" i="7"/>
  <c r="Q21" i="7"/>
  <c r="R25" i="7"/>
  <c r="P25" i="7"/>
  <c r="AB25" i="7"/>
  <c r="Q25" i="7"/>
  <c r="R29" i="7"/>
  <c r="AB29" i="7"/>
  <c r="P29" i="7"/>
  <c r="Q29" i="7"/>
  <c r="R33" i="7"/>
  <c r="AB33" i="7"/>
  <c r="Q33" i="7"/>
  <c r="P33" i="7"/>
  <c r="R37" i="7"/>
  <c r="AB37" i="7"/>
  <c r="Q37" i="7"/>
  <c r="P37" i="7"/>
  <c r="R41" i="7"/>
  <c r="AB41" i="7"/>
  <c r="Q41" i="7"/>
  <c r="P41" i="7"/>
  <c r="P20" i="7"/>
  <c r="R20" i="7"/>
  <c r="AB20" i="7"/>
  <c r="Q20" i="7"/>
  <c r="P24" i="7"/>
  <c r="AB24" i="7"/>
  <c r="R24" i="7"/>
  <c r="Q24" i="7"/>
  <c r="R28" i="7"/>
  <c r="AB28" i="7"/>
  <c r="Q28" i="7"/>
  <c r="P28" i="7"/>
  <c r="AB32" i="7"/>
  <c r="R32" i="7"/>
  <c r="Q32" i="7"/>
  <c r="P32" i="7"/>
  <c r="AB36" i="7"/>
  <c r="R36" i="7"/>
  <c r="Q36" i="7"/>
  <c r="P36" i="7"/>
  <c r="AB40" i="7"/>
  <c r="R40" i="7"/>
  <c r="Q40" i="7"/>
  <c r="P40" i="7"/>
  <c r="Q22" i="7"/>
  <c r="R22" i="7"/>
  <c r="P22" i="7"/>
  <c r="AB22" i="7"/>
  <c r="Q26" i="7"/>
  <c r="R26" i="7"/>
  <c r="AB26" i="7"/>
  <c r="P26" i="7"/>
  <c r="Q30" i="7"/>
  <c r="P30" i="7"/>
  <c r="AB30" i="7"/>
  <c r="R30" i="7"/>
  <c r="Q34" i="7"/>
  <c r="P34" i="7"/>
  <c r="R34" i="7"/>
  <c r="AB34" i="7"/>
  <c r="Q38" i="7"/>
  <c r="P38" i="7"/>
  <c r="R38" i="7"/>
  <c r="AB38" i="7"/>
  <c r="Q42" i="7"/>
  <c r="P42" i="7"/>
  <c r="R42" i="7"/>
  <c r="AB42" i="7"/>
  <c r="AB18" i="7"/>
  <c r="Q18" i="7"/>
  <c r="R18" i="7"/>
  <c r="P18" i="7"/>
  <c r="K93" i="7"/>
  <c r="AB23" i="7"/>
  <c r="Q23" i="7"/>
  <c r="R23" i="7"/>
  <c r="P23" i="7"/>
  <c r="AB27" i="7"/>
  <c r="Q27" i="7"/>
  <c r="P27" i="7"/>
  <c r="R27" i="7"/>
  <c r="AB31" i="7"/>
  <c r="Q31" i="7"/>
  <c r="P31" i="7"/>
  <c r="R31" i="7"/>
  <c r="Q35" i="7"/>
  <c r="P35" i="7"/>
  <c r="AB35" i="7"/>
  <c r="R35" i="7"/>
  <c r="Q39" i="7"/>
  <c r="P39" i="7"/>
  <c r="R39" i="7"/>
  <c r="AB39" i="7"/>
  <c r="Q43" i="7"/>
  <c r="P43" i="7"/>
  <c r="R43" i="7"/>
  <c r="AB43" i="7"/>
  <c r="BM18" i="7" l="1"/>
  <c r="BM27" i="7"/>
  <c r="BM21" i="7"/>
  <c r="BM42" i="7"/>
  <c r="BM34" i="7"/>
  <c r="Z93" i="7"/>
  <c r="BM31" i="7"/>
  <c r="BM26" i="7"/>
  <c r="BM40" i="7"/>
  <c r="BM32" i="7"/>
  <c r="BM28" i="7"/>
  <c r="BM41" i="7"/>
  <c r="BM25" i="7"/>
  <c r="BM39" i="7"/>
  <c r="BM35" i="7"/>
  <c r="BM23" i="7"/>
  <c r="BM20" i="7"/>
  <c r="BM29" i="7"/>
  <c r="BM43" i="7"/>
  <c r="BM38" i="7"/>
  <c r="BM22" i="7"/>
  <c r="BM36" i="7"/>
  <c r="BM37" i="7"/>
  <c r="BM30" i="7"/>
  <c r="BM33" i="7"/>
  <c r="BM24" i="7"/>
  <c r="P93" i="7"/>
  <c r="AF93" i="7"/>
  <c r="R93" i="7"/>
  <c r="AT93" i="7"/>
  <c r="AD93" i="7"/>
  <c r="AB93" i="7"/>
  <c r="BC93" i="7"/>
  <c r="Q93" i="7"/>
  <c r="E74" i="8"/>
  <c r="F74" i="8"/>
  <c r="G74" i="8"/>
  <c r="H74" i="8"/>
  <c r="J74" i="8"/>
  <c r="K74" i="8"/>
  <c r="L74" i="8"/>
  <c r="Z74" i="8"/>
  <c r="D74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Z62" i="8"/>
  <c r="D62" i="8"/>
  <c r="E55" i="8"/>
  <c r="F55" i="8"/>
  <c r="G55" i="8"/>
  <c r="H55" i="8"/>
  <c r="I55" i="8"/>
  <c r="J55" i="8"/>
  <c r="K55" i="8"/>
  <c r="L55" i="8"/>
  <c r="Z55" i="8"/>
  <c r="D55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Z41" i="8"/>
  <c r="D41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Z26" i="8"/>
  <c r="D26" i="8"/>
  <c r="Z75" i="8" l="1"/>
  <c r="U75" i="8"/>
  <c r="I75" i="8"/>
  <c r="BM93" i="7"/>
  <c r="BL93" i="7"/>
  <c r="T75" i="8"/>
  <c r="P75" i="8"/>
  <c r="L75" i="8"/>
  <c r="H75" i="8"/>
  <c r="V75" i="8"/>
  <c r="R75" i="8"/>
  <c r="N75" i="8"/>
  <c r="W75" i="8"/>
  <c r="S75" i="8"/>
  <c r="O75" i="8"/>
  <c r="K75" i="8"/>
  <c r="G75" i="8"/>
  <c r="J75" i="8"/>
  <c r="F75" i="8"/>
  <c r="D75" i="8"/>
  <c r="Q75" i="8"/>
  <c r="M75" i="8"/>
  <c r="E75" i="8"/>
</calcChain>
</file>

<file path=xl/sharedStrings.xml><?xml version="1.0" encoding="utf-8"?>
<sst xmlns="http://schemas.openxmlformats.org/spreadsheetml/2006/main" count="842" uniqueCount="384">
  <si>
    <t>№</t>
  </si>
  <si>
    <t>модератор</t>
  </si>
  <si>
    <t>1-4</t>
  </si>
  <si>
    <t>5-9</t>
  </si>
  <si>
    <t>10-11</t>
  </si>
  <si>
    <t>магистр</t>
  </si>
  <si>
    <t>кабинет</t>
  </si>
  <si>
    <t xml:space="preserve">1-4 </t>
  </si>
  <si>
    <t>Блок</t>
  </si>
  <si>
    <t>Коэффицент</t>
  </si>
  <si>
    <t>Ставка</t>
  </si>
  <si>
    <t xml:space="preserve">Информатика </t>
  </si>
  <si>
    <t>УПРАВЛЕНИЕ ОБРАЗОВАНИЯ ОБЛАСТИ ҰЛЫТАУ</t>
  </si>
  <si>
    <t>"Согласовано"</t>
  </si>
  <si>
    <t>категория</t>
  </si>
  <si>
    <t>коэф</t>
  </si>
  <si>
    <t>Аудармашы</t>
  </si>
  <si>
    <t>Показатели на начало года</t>
  </si>
  <si>
    <t>1-4 классы</t>
  </si>
  <si>
    <t>5-9 классы</t>
  </si>
  <si>
    <t>10-11 классы</t>
  </si>
  <si>
    <t>Итого</t>
  </si>
  <si>
    <t>Общая недельная нагрузка</t>
  </si>
  <si>
    <t>Лицейский компонент</t>
  </si>
  <si>
    <t>Кружки</t>
  </si>
  <si>
    <t>а) по плану</t>
  </si>
  <si>
    <t>б) дополнительные часы</t>
  </si>
  <si>
    <t>Художественный труд</t>
  </si>
  <si>
    <t>Казахский язык и литература</t>
  </si>
  <si>
    <t>Русский язык и литература</t>
  </si>
  <si>
    <t>Иностранный язык</t>
  </si>
  <si>
    <t>Фамилия, имя, отчество</t>
  </si>
  <si>
    <t>Преподаваемый предмет</t>
  </si>
  <si>
    <t>Наличие сертификата о владении английским языком</t>
  </si>
  <si>
    <t>часы мастера</t>
  </si>
  <si>
    <t>Мастер</t>
  </si>
  <si>
    <t>часы исследователя</t>
  </si>
  <si>
    <t>исследователь</t>
  </si>
  <si>
    <t>часы эксперта</t>
  </si>
  <si>
    <t>эксперт</t>
  </si>
  <si>
    <t>часы модератора</t>
  </si>
  <si>
    <t>Количество часов в неделю</t>
  </si>
  <si>
    <t>Почасовая ставка за неделю или год</t>
  </si>
  <si>
    <t xml:space="preserve">часы КРО  </t>
  </si>
  <si>
    <t>наставник</t>
  </si>
  <si>
    <t>внеклассные спортивные мероприятия</t>
  </si>
  <si>
    <t>Образование</t>
  </si>
  <si>
    <t>стаж</t>
  </si>
  <si>
    <t>Количество штатных единиц</t>
  </si>
  <si>
    <t>БДО (теңге)</t>
  </si>
  <si>
    <t>Коэффициент увеличения</t>
  </si>
  <si>
    <t>Фонд заработной платы</t>
  </si>
  <si>
    <t>Библиотечный взнос 30%</t>
  </si>
  <si>
    <t>ФЗП</t>
  </si>
  <si>
    <t>Итого управленческого персонала</t>
  </si>
  <si>
    <t>Итого основного состава</t>
  </si>
  <si>
    <t>Итого административного персонала</t>
  </si>
  <si>
    <t>Итого вспомогательного персонала</t>
  </si>
  <si>
    <t>Итого рабочих</t>
  </si>
  <si>
    <t>Всего</t>
  </si>
  <si>
    <t>Гл.бухгалтер:</t>
  </si>
  <si>
    <t>должность</t>
  </si>
  <si>
    <t>за категорию руководителям и заместителей дир -ов на (ДО)</t>
  </si>
  <si>
    <t>образование по диплому</t>
  </si>
  <si>
    <t>Педагогический стаж</t>
  </si>
  <si>
    <t>дополнительная доплата за категорию</t>
  </si>
  <si>
    <t>Всего часы</t>
  </si>
  <si>
    <t>в том числе часы  в лицей/гимназии</t>
  </si>
  <si>
    <t>часы за обновленку</t>
  </si>
  <si>
    <t>Дополнительная доплата</t>
  </si>
  <si>
    <t>сумма в тенге за обнавленку</t>
  </si>
  <si>
    <t>сумма, обучения на английском языке</t>
  </si>
  <si>
    <t>за инклюзивное образование</t>
  </si>
  <si>
    <t>Часы за инклюзивное образования</t>
  </si>
  <si>
    <t>40% от БДО инклюзия</t>
  </si>
  <si>
    <t>плата за кро</t>
  </si>
  <si>
    <t>за классное руководство</t>
  </si>
  <si>
    <t>обучение на дому</t>
  </si>
  <si>
    <t xml:space="preserve"> БДО/16час *фактическое кол-во  часов</t>
  </si>
  <si>
    <t>за обнавленку</t>
  </si>
  <si>
    <t>всего кол-во класс (наименование класса)</t>
  </si>
  <si>
    <t>часы</t>
  </si>
  <si>
    <t>доплата  за лицей/гимназию, тенге</t>
  </si>
  <si>
    <t>1-4 кл часы</t>
  </si>
  <si>
    <t>5-9 кл часы</t>
  </si>
  <si>
    <t>10-11 кл часы</t>
  </si>
  <si>
    <t>Доплата за проверку за письменных работы</t>
  </si>
  <si>
    <t>Проверка тетрадей 1-4 кл</t>
  </si>
  <si>
    <t>Проверка тетрадей 5-9 кле</t>
  </si>
  <si>
    <t>Проверка тетрадей  10-11 кл</t>
  </si>
  <si>
    <t>доплата  за проверку тетрадей 50%, тенге</t>
  </si>
  <si>
    <t>за категорию педагогам   (ДО)</t>
  </si>
  <si>
    <t xml:space="preserve">доплата за хлорку  20% </t>
  </si>
  <si>
    <t xml:space="preserve">доплата за хлорку  30% (сан.узлы) </t>
  </si>
  <si>
    <t>за ночную смену</t>
  </si>
  <si>
    <t>за инклюзию 40% от БДО</t>
  </si>
  <si>
    <t>Доплата за особые условие труда 10%</t>
  </si>
  <si>
    <t>Обучение на дому</t>
  </si>
  <si>
    <t>сумма (обучение на дому)</t>
  </si>
  <si>
    <t>10% за особые условия труда</t>
  </si>
  <si>
    <t>01.09.2025г количество классов</t>
  </si>
  <si>
    <t>01.09.2025ж  количество учащихся</t>
  </si>
  <si>
    <t>Определение педагогических ставок</t>
  </si>
  <si>
    <t>№п/п</t>
  </si>
  <si>
    <t>Класс</t>
  </si>
  <si>
    <t>Кол-во детей</t>
  </si>
  <si>
    <t>Инвариантный компонент (часы)</t>
  </si>
  <si>
    <t>Вариативный компанент (часы)</t>
  </si>
  <si>
    <t>Дополнительные часы (за счет деления классов)</t>
  </si>
  <si>
    <t>Всего часов</t>
  </si>
  <si>
    <t>Кол-во пед.ставок</t>
  </si>
  <si>
    <t>всего</t>
  </si>
  <si>
    <t>в том числе инклюзия</t>
  </si>
  <si>
    <t>информатика</t>
  </si>
  <si>
    <t>ин.яз</t>
  </si>
  <si>
    <t>рус.яз в КШ</t>
  </si>
  <si>
    <t>труд</t>
  </si>
  <si>
    <t>итого</t>
  </si>
  <si>
    <t>Итого 1-4 классы</t>
  </si>
  <si>
    <t>Итого 5-9 классы</t>
  </si>
  <si>
    <t>Итого 10-11 классы</t>
  </si>
  <si>
    <t>Тарификационный список учителей КГУ _________________________________2025-2026 учебного года</t>
  </si>
  <si>
    <t xml:space="preserve">Руководитель ОТДЕЛА ОБРАЗОВАНИЯ </t>
  </si>
  <si>
    <t>___________________(ФИО)</t>
  </si>
  <si>
    <t>составлено в соответствии с:</t>
  </si>
  <si>
    <t xml:space="preserve">Приказ и.о. Министра просвещения Республики Казахстан от 21 июля 2023 года № 224  "Об утверждении Типовых штатов работников государственных организаций образования". </t>
  </si>
  <si>
    <t xml:space="preserve">Приказ Министра образования и науки Республики Казахстан от 29 января 2016 года № 123 "Об утверждении Реестра должностей гражданских служащих в сфере образования и науки"
</t>
  </si>
  <si>
    <t xml:space="preserve">Постановление Правительства Республики Казахстан от 31 декабря 2015 года № 1193 "О системе оплаты труда гражданских служащих, работников организаций, содержащихся за счет средств государственного бюджета, работников казенных предприятий". </t>
  </si>
  <si>
    <t xml:space="preserve">Категория педагога, сроки получение и окончания </t>
  </si>
  <si>
    <t>составлен в соответствии с:</t>
  </si>
  <si>
    <t>по состоянию на 01.09.2025 г.</t>
  </si>
  <si>
    <t>Абеева М С</t>
  </si>
  <si>
    <t>Абжанова С.Б</t>
  </si>
  <si>
    <t>Абишева Б М</t>
  </si>
  <si>
    <t>Алибеков М.К.</t>
  </si>
  <si>
    <t>Алмаганбетова А.Н</t>
  </si>
  <si>
    <t xml:space="preserve">Алмаганбетова Ж.Ш. </t>
  </si>
  <si>
    <t>Ахметханова Б.А.</t>
  </si>
  <si>
    <t>Алияскарова З С</t>
  </si>
  <si>
    <t>Алмаганбетова Ж Ж</t>
  </si>
  <si>
    <t>Ауданбек Ш К</t>
  </si>
  <si>
    <t>Әбдібекқызы Ф</t>
  </si>
  <si>
    <t>Әбдірахманова С З</t>
  </si>
  <si>
    <t>Бузауова Г.Б</t>
  </si>
  <si>
    <t>Байқон К К</t>
  </si>
  <si>
    <t>Бейсенбекова Ш.А.</t>
  </si>
  <si>
    <t>Бактыбайқызы Н</t>
  </si>
  <si>
    <t>Бәкірова Н.А.</t>
  </si>
  <si>
    <t>Бультрукова А.Б.</t>
  </si>
  <si>
    <t>Бекмаганбетов Б Б</t>
  </si>
  <si>
    <t>Бекназар А Т</t>
  </si>
  <si>
    <t>Битенова А Г</t>
  </si>
  <si>
    <t>Дихан А Ж</t>
  </si>
  <si>
    <t>Ергали Ш М</t>
  </si>
  <si>
    <t>Есенгелдиев У Б</t>
  </si>
  <si>
    <t>Жабаспаева А Н</t>
  </si>
  <si>
    <t>Жумабаева Ж.К</t>
  </si>
  <si>
    <t>Жусупалиева Г.М</t>
  </si>
  <si>
    <t>Ибраш Д З</t>
  </si>
  <si>
    <t>Кабылденова А.</t>
  </si>
  <si>
    <t>Калиев Н.</t>
  </si>
  <si>
    <t>Кистаубаева Г.М</t>
  </si>
  <si>
    <t>Кордашева З.Т</t>
  </si>
  <si>
    <t>Куанышева Г.О</t>
  </si>
  <si>
    <t>Калиева А Р</t>
  </si>
  <si>
    <t>Куланбаева К.Ж</t>
  </si>
  <si>
    <t>Қанат А М</t>
  </si>
  <si>
    <t>Мамыржан А Р</t>
  </si>
  <si>
    <t>Машайыкова Н.К</t>
  </si>
  <si>
    <t>Нурулдаева Ж.Ш.</t>
  </si>
  <si>
    <t>Омарова Г.К.</t>
  </si>
  <si>
    <t>Омарова К.С</t>
  </si>
  <si>
    <t>Өтебек М Ш</t>
  </si>
  <si>
    <t>Өмірзақ А</t>
  </si>
  <si>
    <t>Рахметолла А.Т.</t>
  </si>
  <si>
    <t>Раматулла А А</t>
  </si>
  <si>
    <t>Сейлова М.С</t>
  </si>
  <si>
    <t>Сагындикова Ж.А.</t>
  </si>
  <si>
    <t>Сыздыкова О.Н</t>
  </si>
  <si>
    <t>Сарсенгалиева С Д</t>
  </si>
  <si>
    <t>Сауленбекова С.Е</t>
  </si>
  <si>
    <t>Смайлова С Т</t>
  </si>
  <si>
    <t>Тазабекова Н.Б.</t>
  </si>
  <si>
    <t>Тапишева С.Б.</t>
  </si>
  <si>
    <t>Темирбекова З.А.</t>
  </si>
  <si>
    <t xml:space="preserve">Тулешов М.Д. </t>
  </si>
  <si>
    <t>Тлеужанова Н Т</t>
  </si>
  <si>
    <t>Тусупова Б Т</t>
  </si>
  <si>
    <t>Шакенова А.Ж</t>
  </si>
  <si>
    <t>Шотыбасова А.А</t>
  </si>
  <si>
    <t>Шутикова Д М</t>
  </si>
  <si>
    <t>высшее</t>
  </si>
  <si>
    <t>высшее/магистр</t>
  </si>
  <si>
    <t>сред.спец</t>
  </si>
  <si>
    <t>б/категории</t>
  </si>
  <si>
    <t>мастер</t>
  </si>
  <si>
    <t>В2-3</t>
  </si>
  <si>
    <t>В2-4</t>
  </si>
  <si>
    <t>В2-2</t>
  </si>
  <si>
    <t>В4-3</t>
  </si>
  <si>
    <t>В2-1</t>
  </si>
  <si>
    <t>В4-4</t>
  </si>
  <si>
    <t>В4-2</t>
  </si>
  <si>
    <t>доплата  за проверку тетрадей 100%, тенге</t>
  </si>
  <si>
    <t>нач класс</t>
  </si>
  <si>
    <t>худ рис и черч</t>
  </si>
  <si>
    <t>каз яз и лит</t>
  </si>
  <si>
    <t>биология</t>
  </si>
  <si>
    <t>анг яз</t>
  </si>
  <si>
    <t>география</t>
  </si>
  <si>
    <t>музыка</t>
  </si>
  <si>
    <t>математика</t>
  </si>
  <si>
    <t>рус яз и лит</t>
  </si>
  <si>
    <t>физкультура</t>
  </si>
  <si>
    <t>химия</t>
  </si>
  <si>
    <t>история</t>
  </si>
  <si>
    <t>худ труд</t>
  </si>
  <si>
    <t>физика</t>
  </si>
  <si>
    <t>Директор</t>
  </si>
  <si>
    <t>Гл. Бухгалтер</t>
  </si>
  <si>
    <t>Бухгалтер</t>
  </si>
  <si>
    <t>Зам.директора по хоз.раб.</t>
  </si>
  <si>
    <t>Секретарь</t>
  </si>
  <si>
    <t>Делопроизводитель</t>
  </si>
  <si>
    <t>Млад.медиц. персонал</t>
  </si>
  <si>
    <t>Инженер по оборудованию</t>
  </si>
  <si>
    <t>Рабочий по комплексному обслуживанию и ремонту зданий</t>
  </si>
  <si>
    <t>Слесарь-сантехник</t>
  </si>
  <si>
    <t>Плотник</t>
  </si>
  <si>
    <t>Электрик</t>
  </si>
  <si>
    <t>Техничка</t>
  </si>
  <si>
    <t>Дворник</t>
  </si>
  <si>
    <t>Гардеробщик</t>
  </si>
  <si>
    <t>Сторож</t>
  </si>
  <si>
    <t>Вахтер</t>
  </si>
  <si>
    <t>А1-3</t>
  </si>
  <si>
    <t>А2-3</t>
  </si>
  <si>
    <t>С-2</t>
  </si>
  <si>
    <t>С-3</t>
  </si>
  <si>
    <t>С3</t>
  </si>
  <si>
    <t>D</t>
  </si>
  <si>
    <t>4-разр</t>
  </si>
  <si>
    <t>2-разр</t>
  </si>
  <si>
    <t>1-разр</t>
  </si>
  <si>
    <t>средн спец</t>
  </si>
  <si>
    <t>Заведующий по хоз работе</t>
  </si>
  <si>
    <t xml:space="preserve">Зам. директора по ВР </t>
  </si>
  <si>
    <t>Зам. директора по УР</t>
  </si>
  <si>
    <t>Педагог-организ.по НВП</t>
  </si>
  <si>
    <t>Педагог психолог</t>
  </si>
  <si>
    <t>Воспитатель предшколы</t>
  </si>
  <si>
    <t>Педагог-ассистент</t>
  </si>
  <si>
    <t>Педагог-профориентатор</t>
  </si>
  <si>
    <t>Социальный-педагог</t>
  </si>
  <si>
    <t>Учитель-логопед</t>
  </si>
  <si>
    <t>Вожатый</t>
  </si>
  <si>
    <t>Заведующий библиотекой</t>
  </si>
  <si>
    <t>Библиотекарь</t>
  </si>
  <si>
    <t>Лаборант</t>
  </si>
  <si>
    <t>А1-3-1</t>
  </si>
  <si>
    <t>В3-3</t>
  </si>
  <si>
    <t>В3-4</t>
  </si>
  <si>
    <t>С1</t>
  </si>
  <si>
    <t>С2</t>
  </si>
  <si>
    <t>сред спец</t>
  </si>
  <si>
    <t>за праздничные дни</t>
  </si>
  <si>
    <t>доплата за выполнение обязанности временно отсутст работника</t>
  </si>
  <si>
    <t>1.Расчет доплаты за уборку служебных помещений</t>
  </si>
  <si>
    <t>БДО</t>
  </si>
  <si>
    <t>ед</t>
  </si>
  <si>
    <t>%</t>
  </si>
  <si>
    <t>вредность</t>
  </si>
  <si>
    <t>2. Расчет доплаты за замену,уходящих в отпуск</t>
  </si>
  <si>
    <t>Примечание:</t>
  </si>
  <si>
    <t>1. Расчет на доплату за праздничные дни и в ночное время</t>
  </si>
  <si>
    <t>празд.</t>
  </si>
  <si>
    <t>ночное</t>
  </si>
  <si>
    <t>2.Расчет доплаты за замену, ухлдящих в отпуск</t>
  </si>
  <si>
    <t>99457/164=606,45*50%=303,23 за один час</t>
  </si>
  <si>
    <t>365дней*8часов*303,23=885432/12=73786*1=73786/3*3=24595</t>
  </si>
  <si>
    <t>14дней*24*303,23=101885/12=8490</t>
  </si>
  <si>
    <t xml:space="preserve">Зам. директора по УР </t>
  </si>
  <si>
    <t>вакансия</t>
  </si>
  <si>
    <t xml:space="preserve">КГУ"Общеобразовательная школа №5 имени Кабдена Шынгысова" отдела образования города Жезказган
Содержание тарификации педагогическими кадрами на 
01.09.2025 г.
</t>
  </si>
  <si>
    <t>Штатное расписание КГУ "Общеобразовательная школа №5 имени Кабдена Шынгысова" на 01.09.2025год</t>
  </si>
  <si>
    <t>глоб компет</t>
  </si>
  <si>
    <t>Калманбаева А К</t>
  </si>
  <si>
    <t>доплата  за проверку тетрадей 40%, тенге</t>
  </si>
  <si>
    <t>КГУ"Общеобразовательная школа №5 имени Кабдена Шынгысова" отдела образования г Жезказгана управления образования области Ұлытау</t>
  </si>
  <si>
    <t>дом.обуч</t>
  </si>
  <si>
    <t>1 а</t>
  </si>
  <si>
    <t>1 ә</t>
  </si>
  <si>
    <t>1 б</t>
  </si>
  <si>
    <t>1 в</t>
  </si>
  <si>
    <t>2 а</t>
  </si>
  <si>
    <t>2 ә</t>
  </si>
  <si>
    <t>2 б</t>
  </si>
  <si>
    <t>2 в</t>
  </si>
  <si>
    <t>3 а</t>
  </si>
  <si>
    <t>3 ә</t>
  </si>
  <si>
    <t>3 б</t>
  </si>
  <si>
    <t>3 в</t>
  </si>
  <si>
    <t>4 а</t>
  </si>
  <si>
    <t>4 ә</t>
  </si>
  <si>
    <t>4 б</t>
  </si>
  <si>
    <t>4 в</t>
  </si>
  <si>
    <t>5 а</t>
  </si>
  <si>
    <t>5 ә</t>
  </si>
  <si>
    <t>5 б</t>
  </si>
  <si>
    <t>5 в</t>
  </si>
  <si>
    <t>6 а</t>
  </si>
  <si>
    <t>6 ә</t>
  </si>
  <si>
    <t>6 б</t>
  </si>
  <si>
    <t>6 в</t>
  </si>
  <si>
    <t>7 а</t>
  </si>
  <si>
    <t>7 ә</t>
  </si>
  <si>
    <t>7 б</t>
  </si>
  <si>
    <t>7 в</t>
  </si>
  <si>
    <t>8 а</t>
  </si>
  <si>
    <t>8 ә</t>
  </si>
  <si>
    <t>8 б</t>
  </si>
  <si>
    <t>8 в</t>
  </si>
  <si>
    <t xml:space="preserve">9 а </t>
  </si>
  <si>
    <t>9 ә</t>
  </si>
  <si>
    <t>9 б</t>
  </si>
  <si>
    <t>10 а</t>
  </si>
  <si>
    <t>10 ә</t>
  </si>
  <si>
    <t>11 а</t>
  </si>
  <si>
    <t>11 ә</t>
  </si>
  <si>
    <t>4А</t>
  </si>
  <si>
    <t>1Ә</t>
  </si>
  <si>
    <t>2В</t>
  </si>
  <si>
    <t>8В</t>
  </si>
  <si>
    <t>5В</t>
  </si>
  <si>
    <t>7В</t>
  </si>
  <si>
    <t>4В</t>
  </si>
  <si>
    <t>3Б</t>
  </si>
  <si>
    <t>4Ә</t>
  </si>
  <si>
    <t>2Б</t>
  </si>
  <si>
    <t>3А</t>
  </si>
  <si>
    <t>2Ә</t>
  </si>
  <si>
    <t>3В</t>
  </si>
  <si>
    <t>3Ә</t>
  </si>
  <si>
    <t>1Б</t>
  </si>
  <si>
    <t>2А</t>
  </si>
  <si>
    <t>1А</t>
  </si>
  <si>
    <t>4Б</t>
  </si>
  <si>
    <t>10А</t>
  </si>
  <si>
    <t>7Ә</t>
  </si>
  <si>
    <t>5А</t>
  </si>
  <si>
    <t>11Ә</t>
  </si>
  <si>
    <t>5Б</t>
  </si>
  <si>
    <t>9Б</t>
  </si>
  <si>
    <t>11А</t>
  </si>
  <si>
    <t>9Ә</t>
  </si>
  <si>
    <t>6А</t>
  </si>
  <si>
    <t>6Б</t>
  </si>
  <si>
    <t>8Ә</t>
  </si>
  <si>
    <t>7А</t>
  </si>
  <si>
    <t>6Ә</t>
  </si>
  <si>
    <t>6В</t>
  </si>
  <si>
    <t>5Ә</t>
  </si>
  <si>
    <t>7Б</t>
  </si>
  <si>
    <t>8А</t>
  </si>
  <si>
    <t>9А</t>
  </si>
  <si>
    <t>10Ә</t>
  </si>
  <si>
    <t>8Б</t>
  </si>
  <si>
    <t>«Утверждаю»                                                                          Директор КГУ "Общеобразовательная школа №5 имени Кабден Шынгысова" отдела образования города Жезказгана                        управления образования области Ұлытау                                         ______________________Абеева М.С.</t>
  </si>
  <si>
    <t>директор</t>
  </si>
  <si>
    <t>учитель</t>
  </si>
  <si>
    <t>завуч</t>
  </si>
  <si>
    <t>психолог</t>
  </si>
  <si>
    <t>Альмаганбетов Ж Е</t>
  </si>
  <si>
    <r>
      <t xml:space="preserve">«Согласовано»                                                                                                Заместитель    управления образования области Ұлытау                                                                                       </t>
    </r>
    <r>
      <rPr>
        <b/>
        <u/>
        <sz val="14"/>
        <color theme="1"/>
        <rFont val="Times New Roman"/>
        <family val="1"/>
        <charset val="204"/>
      </rPr>
      <t xml:space="preserve">            _____________________Мунсузбаева А Т</t>
    </r>
  </si>
  <si>
    <t>«Утверждаю»                                                                          Директор КГУ "Общеобразовательная школа №5 имени Кабден Шынгысова" отдела образования города Жезказгана  управления образования области Ұлытау                                         ______________________Абеева М.С.</t>
  </si>
  <si>
    <r>
      <t xml:space="preserve">«Согласовано»                                                           Руководитель отдела образования г.Жезказгана управление  образования области Ұлытау                                                                                         </t>
    </r>
    <r>
      <rPr>
        <b/>
        <u/>
        <sz val="14"/>
        <color theme="1"/>
        <rFont val="Times New Roman"/>
        <family val="1"/>
        <charset val="204"/>
      </rPr>
      <t xml:space="preserve">            _____________________</t>
    </r>
    <r>
      <rPr>
        <b/>
        <sz val="14"/>
        <color theme="1"/>
        <rFont val="Times New Roman"/>
        <family val="1"/>
        <charset val="204"/>
      </rPr>
      <t>Альмаганбетов Ж.Е.</t>
    </r>
  </si>
  <si>
    <t xml:space="preserve">КГУ "Общеобразовательная школа №5 имени Кабдена Шынгысова" отдела образования г Жезказган управления образования области Ұлытау </t>
  </si>
  <si>
    <t>Заместитель директора по образовательной работе                                          Кистаубаева Г М</t>
  </si>
  <si>
    <t>Главный бухгалтер                                                                                             Нысанбаева А Ж</t>
  </si>
  <si>
    <t>соц.педагог</t>
  </si>
  <si>
    <t>Директор                        Абеева М.С.</t>
  </si>
  <si>
    <r>
      <t xml:space="preserve">«Согласовано»                                                           Руководитель отдела образования г.Жезказгана                                управление  образования области Ұлытау                                                                                         </t>
    </r>
    <r>
      <rPr>
        <b/>
        <u/>
        <sz val="16"/>
        <color theme="1"/>
        <rFont val="Times New Roman"/>
        <family val="1"/>
        <charset val="204"/>
      </rPr>
      <t xml:space="preserve">            _____________________</t>
    </r>
    <r>
      <rPr>
        <b/>
        <sz val="16"/>
        <color theme="1"/>
        <rFont val="Times New Roman"/>
        <family val="1"/>
        <charset val="204"/>
      </rPr>
      <t>Алмагамбетов Ж.Е.</t>
    </r>
  </si>
  <si>
    <r>
      <t xml:space="preserve">«Согласовано»                                                                                                Заместитель    управления образования области Ұлытау                                                                                       </t>
    </r>
    <r>
      <rPr>
        <b/>
        <u/>
        <sz val="16"/>
        <color theme="1"/>
        <rFont val="Times New Roman"/>
        <family val="1"/>
        <charset val="204"/>
      </rPr>
      <t xml:space="preserve">            _____________________А.Мунсузбаева</t>
    </r>
  </si>
  <si>
    <t>Директор                     Абеева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</si>
</sst>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rgb="FF0070C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Arial Cyr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/>
    <xf numFmtId="0" fontId="4" fillId="2" borderId="0" xfId="0" applyFont="1" applyFill="1"/>
    <xf numFmtId="1" fontId="7" fillId="0" borderId="0" xfId="0" applyNumberFormat="1" applyFont="1"/>
    <xf numFmtId="0" fontId="4" fillId="0" borderId="0" xfId="0" applyFont="1" applyAlignment="1">
      <alignment horizontal="left"/>
    </xf>
    <xf numFmtId="0" fontId="9" fillId="0" borderId="0" xfId="0" applyFont="1"/>
    <xf numFmtId="0" fontId="6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2" borderId="0" xfId="0" applyFont="1" applyFill="1"/>
    <xf numFmtId="0" fontId="11" fillId="0" borderId="0" xfId="0" applyFont="1"/>
    <xf numFmtId="49" fontId="3" fillId="0" borderId="0" xfId="0" applyNumberFormat="1" applyFont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12" fillId="0" borderId="0" xfId="0" applyFo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1" fontId="16" fillId="2" borderId="0" xfId="0" applyNumberFormat="1" applyFont="1" applyFill="1" applyAlignment="1">
      <alignment horizontal="center"/>
    </xf>
    <xf numFmtId="1" fontId="16" fillId="2" borderId="0" xfId="0" applyNumberFormat="1" applyFont="1" applyFill="1" applyAlignment="1">
      <alignment horizontal="center" vertical="center"/>
    </xf>
    <xf numFmtId="2" fontId="16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right"/>
    </xf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6" fillId="2" borderId="0" xfId="0" applyFont="1" applyFill="1" applyAlignment="1">
      <alignment horizontal="right"/>
    </xf>
    <xf numFmtId="0" fontId="17" fillId="2" borderId="0" xfId="0" applyFont="1" applyFill="1" applyAlignment="1">
      <alignment horizontal="right"/>
    </xf>
    <xf numFmtId="1" fontId="17" fillId="2" borderId="0" xfId="0" applyNumberFormat="1" applyFont="1" applyFill="1"/>
    <xf numFmtId="0" fontId="12" fillId="0" borderId="0" xfId="0" applyFont="1" applyAlignment="1">
      <alignment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9" fontId="6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textRotation="90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20" fillId="2" borderId="0" xfId="0" applyFont="1" applyFill="1" applyAlignment="1">
      <alignment vertical="top"/>
    </xf>
    <xf numFmtId="0" fontId="16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 wrapText="1"/>
    </xf>
    <xf numFmtId="49" fontId="6" fillId="2" borderId="0" xfId="0" applyNumberFormat="1" applyFont="1" applyFill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 wrapText="1"/>
    </xf>
    <xf numFmtId="0" fontId="17" fillId="0" borderId="3" xfId="0" applyFont="1" applyBorder="1"/>
    <xf numFmtId="0" fontId="22" fillId="0" borderId="3" xfId="0" applyFont="1" applyBorder="1" applyAlignment="1">
      <alignment horizontal="center"/>
    </xf>
    <xf numFmtId="0" fontId="17" fillId="0" borderId="3" xfId="0" applyFont="1" applyBorder="1" applyAlignment="1">
      <alignment wrapText="1"/>
    </xf>
    <xf numFmtId="2" fontId="22" fillId="0" borderId="3" xfId="0" applyNumberFormat="1" applyFont="1" applyBorder="1" applyAlignment="1">
      <alignment horizontal="center"/>
    </xf>
    <xf numFmtId="0" fontId="22" fillId="0" borderId="3" xfId="0" applyFont="1" applyBorder="1"/>
    <xf numFmtId="0" fontId="22" fillId="2" borderId="3" xfId="0" applyFont="1" applyFill="1" applyBorder="1"/>
    <xf numFmtId="2" fontId="22" fillId="2" borderId="3" xfId="0" applyNumberFormat="1" applyFont="1" applyFill="1" applyBorder="1" applyAlignment="1">
      <alignment horizontal="center"/>
    </xf>
    <xf numFmtId="0" fontId="17" fillId="2" borderId="3" xfId="0" applyFont="1" applyFill="1" applyBorder="1"/>
    <xf numFmtId="0" fontId="22" fillId="2" borderId="3" xfId="0" applyFont="1" applyFill="1" applyBorder="1" applyAlignment="1">
      <alignment horizontal="center"/>
    </xf>
    <xf numFmtId="0" fontId="17" fillId="0" borderId="17" xfId="0" applyFont="1" applyBorder="1"/>
    <xf numFmtId="2" fontId="22" fillId="0" borderId="17" xfId="0" applyNumberFormat="1" applyFont="1" applyBorder="1" applyAlignment="1">
      <alignment horizont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textRotation="90" wrapText="1"/>
    </xf>
    <xf numFmtId="1" fontId="9" fillId="2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1" fontId="22" fillId="2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1" fontId="7" fillId="0" borderId="1" xfId="0" applyNumberFormat="1" applyFont="1" applyBorder="1"/>
    <xf numFmtId="1" fontId="7" fillId="2" borderId="1" xfId="0" applyNumberFormat="1" applyFont="1" applyFill="1" applyBorder="1"/>
    <xf numFmtId="1" fontId="7" fillId="0" borderId="3" xfId="0" applyNumberFormat="1" applyFont="1" applyBorder="1"/>
    <xf numFmtId="0" fontId="23" fillId="2" borderId="3" xfId="0" applyFont="1" applyFill="1" applyBorder="1"/>
    <xf numFmtId="0" fontId="24" fillId="2" borderId="3" xfId="0" applyFont="1" applyFill="1" applyBorder="1"/>
    <xf numFmtId="0" fontId="25" fillId="2" borderId="3" xfId="0" applyFont="1" applyFill="1" applyBorder="1"/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" fontId="4" fillId="0" borderId="0" xfId="0" applyNumberFormat="1" applyFont="1"/>
    <xf numFmtId="0" fontId="23" fillId="2" borderId="3" xfId="0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6" fillId="2" borderId="0" xfId="0" applyNumberFormat="1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3" xfId="0" applyFont="1" applyBorder="1" applyAlignment="1">
      <alignment horizontal="center"/>
    </xf>
    <xf numFmtId="0" fontId="22" fillId="0" borderId="0" xfId="0" applyFont="1"/>
    <xf numFmtId="0" fontId="17" fillId="2" borderId="3" xfId="0" applyFont="1" applyFill="1" applyBorder="1" applyAlignment="1">
      <alignment horizontal="center"/>
    </xf>
    <xf numFmtId="164" fontId="17" fillId="2" borderId="3" xfId="0" applyNumberFormat="1" applyFont="1" applyFill="1" applyBorder="1" applyAlignment="1">
      <alignment horizontal="center"/>
    </xf>
    <xf numFmtId="164" fontId="17" fillId="0" borderId="3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2" borderId="3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/>
    <xf numFmtId="0" fontId="27" fillId="0" borderId="0" xfId="0" applyFont="1"/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Alignment="1">
      <alignment horizontal="left" vertical="center"/>
    </xf>
    <xf numFmtId="0" fontId="22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2" borderId="0" xfId="0" applyFont="1" applyFill="1" applyAlignment="1">
      <alignment horizontal="left" vertical="center"/>
    </xf>
    <xf numFmtId="164" fontId="22" fillId="0" borderId="3" xfId="0" applyNumberFormat="1" applyFont="1" applyBorder="1" applyAlignment="1">
      <alignment horizontal="center" vertical="center"/>
    </xf>
    <xf numFmtId="1" fontId="22" fillId="0" borderId="20" xfId="0" applyNumberFormat="1" applyFont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3" fillId="0" borderId="22" xfId="0" applyFont="1" applyBorder="1"/>
    <xf numFmtId="0" fontId="29" fillId="0" borderId="23" xfId="0" applyFont="1" applyBorder="1"/>
    <xf numFmtId="0" fontId="13" fillId="0" borderId="23" xfId="0" applyFont="1" applyBorder="1"/>
    <xf numFmtId="164" fontId="13" fillId="0" borderId="23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26" xfId="0" applyNumberFormat="1" applyFont="1" applyBorder="1" applyAlignment="1">
      <alignment horizontal="center"/>
    </xf>
    <xf numFmtId="0" fontId="8" fillId="0" borderId="10" xfId="0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1" xfId="0" applyFont="1" applyBorder="1"/>
    <xf numFmtId="16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31" fillId="0" borderId="27" xfId="0" applyFont="1" applyBorder="1" applyAlignment="1">
      <alignment horizontal="center"/>
    </xf>
    <xf numFmtId="0" fontId="6" fillId="0" borderId="27" xfId="0" applyFont="1" applyBorder="1"/>
    <xf numFmtId="0" fontId="31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 vertical="top" wrapText="1"/>
    </xf>
    <xf numFmtId="0" fontId="34" fillId="0" borderId="0" xfId="0" applyFont="1"/>
    <xf numFmtId="0" fontId="34" fillId="2" borderId="0" xfId="0" applyFont="1" applyFill="1"/>
    <xf numFmtId="0" fontId="32" fillId="0" borderId="0" xfId="0" applyFont="1" applyAlignment="1">
      <alignment horizontal="center"/>
    </xf>
    <xf numFmtId="0" fontId="32" fillId="2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4" fillId="2" borderId="0" xfId="0" applyFont="1" applyFill="1" applyAlignment="1">
      <alignment horizontal="center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wrapText="1"/>
    </xf>
    <xf numFmtId="0" fontId="18" fillId="2" borderId="0" xfId="0" applyFont="1" applyFill="1" applyAlignment="1">
      <alignment horizontal="left" vertical="top"/>
    </xf>
    <xf numFmtId="0" fontId="34" fillId="2" borderId="0" xfId="0" applyFont="1" applyFill="1" applyAlignment="1">
      <alignment horizontal="left" vertical="center"/>
    </xf>
    <xf numFmtId="9" fontId="18" fillId="2" borderId="17" xfId="0" applyNumberFormat="1" applyFont="1" applyFill="1" applyBorder="1" applyAlignment="1">
      <alignment horizontal="center" vertical="center" wrapText="1"/>
    </xf>
    <xf numFmtId="9" fontId="18" fillId="2" borderId="17" xfId="0" applyNumberFormat="1" applyFont="1" applyFill="1" applyBorder="1" applyAlignment="1">
      <alignment horizontal="center" vertical="center" textRotation="90" wrapText="1"/>
    </xf>
    <xf numFmtId="0" fontId="36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9" fontId="18" fillId="2" borderId="3" xfId="0" applyNumberFormat="1" applyFont="1" applyFill="1" applyBorder="1" applyAlignment="1">
      <alignment horizontal="center" vertical="center" wrapText="1"/>
    </xf>
    <xf numFmtId="9" fontId="18" fillId="2" borderId="3" xfId="0" applyNumberFormat="1" applyFont="1" applyFill="1" applyBorder="1" applyAlignment="1">
      <alignment horizontal="center" vertical="center" textRotation="90" wrapText="1"/>
    </xf>
    <xf numFmtId="0" fontId="35" fillId="0" borderId="3" xfId="0" applyFont="1" applyBorder="1" applyAlignment="1">
      <alignment horizontal="center" vertical="center" wrapText="1"/>
    </xf>
    <xf numFmtId="0" fontId="37" fillId="0" borderId="3" xfId="0" applyFont="1" applyBorder="1"/>
    <xf numFmtId="0" fontId="37" fillId="2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1" fontId="37" fillId="2" borderId="3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left" wrapText="1"/>
    </xf>
    <xf numFmtId="0" fontId="34" fillId="0" borderId="3" xfId="0" applyFont="1" applyBorder="1" applyAlignment="1">
      <alignment horizontal="center"/>
    </xf>
    <xf numFmtId="0" fontId="36" fillId="2" borderId="3" xfId="0" applyFont="1" applyFill="1" applyBorder="1"/>
    <xf numFmtId="0" fontId="37" fillId="2" borderId="3" xfId="0" applyFont="1" applyFill="1" applyBorder="1" applyAlignment="1">
      <alignment horizontal="left" vertical="center" wrapText="1"/>
    </xf>
    <xf numFmtId="0" fontId="37" fillId="2" borderId="3" xfId="0" applyFont="1" applyFill="1" applyBorder="1" applyAlignment="1">
      <alignment horizontal="left" vertical="center"/>
    </xf>
    <xf numFmtId="49" fontId="37" fillId="2" borderId="3" xfId="0" applyNumberFormat="1" applyFont="1" applyFill="1" applyBorder="1" applyAlignment="1">
      <alignment horizontal="center" vertical="center"/>
    </xf>
    <xf numFmtId="2" fontId="18" fillId="2" borderId="3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/>
    </xf>
    <xf numFmtId="1" fontId="18" fillId="3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wrapText="1"/>
    </xf>
    <xf numFmtId="49" fontId="18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/>
    <xf numFmtId="164" fontId="18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wrapText="1"/>
    </xf>
    <xf numFmtId="0" fontId="37" fillId="0" borderId="3" xfId="0" applyFont="1" applyBorder="1" applyAlignment="1">
      <alignment horizontal="left" wrapText="1"/>
    </xf>
    <xf numFmtId="0" fontId="37" fillId="2" borderId="3" xfId="0" applyFont="1" applyFill="1" applyBorder="1" applyAlignment="1">
      <alignment horizontal="center"/>
    </xf>
    <xf numFmtId="49" fontId="37" fillId="2" borderId="3" xfId="0" applyNumberFormat="1" applyFont="1" applyFill="1" applyBorder="1" applyAlignment="1">
      <alignment horizontal="center"/>
    </xf>
    <xf numFmtId="1" fontId="18" fillId="3" borderId="3" xfId="0" applyNumberFormat="1" applyFont="1" applyFill="1" applyBorder="1" applyAlignment="1">
      <alignment horizontal="center"/>
    </xf>
    <xf numFmtId="1" fontId="37" fillId="2" borderId="3" xfId="0" applyNumberFormat="1" applyFont="1" applyFill="1" applyBorder="1" applyAlignment="1">
      <alignment horizontal="center"/>
    </xf>
    <xf numFmtId="1" fontId="37" fillId="2" borderId="3" xfId="0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wrapText="1"/>
    </xf>
    <xf numFmtId="0" fontId="37" fillId="2" borderId="3" xfId="0" applyFont="1" applyFill="1" applyBorder="1"/>
    <xf numFmtId="2" fontId="37" fillId="2" borderId="3" xfId="0" applyNumberFormat="1" applyFont="1" applyFill="1" applyBorder="1" applyAlignment="1">
      <alignment horizontal="center"/>
    </xf>
    <xf numFmtId="0" fontId="37" fillId="2" borderId="3" xfId="0" applyFont="1" applyFill="1" applyBorder="1" applyAlignment="1">
      <alignment horizontal="left"/>
    </xf>
    <xf numFmtId="0" fontId="36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wrapText="1"/>
    </xf>
    <xf numFmtId="0" fontId="18" fillId="0" borderId="3" xfId="0" applyFont="1" applyBorder="1"/>
    <xf numFmtId="0" fontId="37" fillId="0" borderId="3" xfId="0" applyFont="1" applyBorder="1" applyAlignment="1">
      <alignment horizontal="left"/>
    </xf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left"/>
    </xf>
    <xf numFmtId="0" fontId="37" fillId="0" borderId="3" xfId="0" applyFont="1" applyBorder="1" applyAlignment="1">
      <alignment wrapText="1"/>
    </xf>
    <xf numFmtId="0" fontId="37" fillId="0" borderId="3" xfId="0" applyFont="1" applyBorder="1" applyAlignment="1">
      <alignment horizontal="center"/>
    </xf>
    <xf numFmtId="0" fontId="34" fillId="0" borderId="3" xfId="0" applyFont="1" applyBorder="1"/>
    <xf numFmtId="0" fontId="18" fillId="3" borderId="3" xfId="0" applyFont="1" applyFill="1" applyBorder="1" applyAlignment="1">
      <alignment wrapText="1"/>
    </xf>
    <xf numFmtId="0" fontId="18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6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9" fontId="18" fillId="2" borderId="4" xfId="0" applyNumberFormat="1" applyFont="1" applyFill="1" applyBorder="1" applyAlignment="1">
      <alignment horizontal="center" vertical="center" wrapText="1"/>
    </xf>
    <xf numFmtId="9" fontId="18" fillId="2" borderId="17" xfId="0" applyNumberFormat="1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2" fontId="18" fillId="2" borderId="4" xfId="0" applyNumberFormat="1" applyFont="1" applyFill="1" applyBorder="1" applyAlignment="1">
      <alignment horizontal="center" vertical="center" wrapText="1"/>
    </xf>
    <xf numFmtId="2" fontId="18" fillId="2" borderId="17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0" fontId="18" fillId="0" borderId="0" xfId="0" applyFont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"/>
  <sheetViews>
    <sheetView view="pageLayout" topLeftCell="A4" zoomScaleNormal="80" workbookViewId="0">
      <selection activeCell="A2" sqref="A2:F5"/>
    </sheetView>
  </sheetViews>
  <sheetFormatPr defaultRowHeight="14.4" x14ac:dyDescent="0.3"/>
  <cols>
    <col min="2" max="2" width="39.44140625" customWidth="1"/>
    <col min="3" max="3" width="18.33203125" customWidth="1"/>
    <col min="4" max="4" width="19.33203125" customWidth="1"/>
    <col min="5" max="5" width="14.88671875" customWidth="1"/>
    <col min="6" max="6" width="29.6640625" customWidth="1"/>
  </cols>
  <sheetData>
    <row r="2" spans="1:6" ht="15" customHeight="1" x14ac:dyDescent="0.3">
      <c r="A2" s="252" t="s">
        <v>283</v>
      </c>
      <c r="B2" s="252"/>
      <c r="C2" s="252"/>
      <c r="D2" s="252"/>
      <c r="E2" s="252"/>
      <c r="F2" s="252"/>
    </row>
    <row r="3" spans="1:6" ht="15" customHeight="1" x14ac:dyDescent="0.3">
      <c r="A3" s="252"/>
      <c r="B3" s="252"/>
      <c r="C3" s="252"/>
      <c r="D3" s="252"/>
      <c r="E3" s="252"/>
      <c r="F3" s="252"/>
    </row>
    <row r="4" spans="1:6" ht="15" customHeight="1" x14ac:dyDescent="0.3">
      <c r="A4" s="252"/>
      <c r="B4" s="252"/>
      <c r="C4" s="252"/>
      <c r="D4" s="252"/>
      <c r="E4" s="252"/>
      <c r="F4" s="252"/>
    </row>
    <row r="5" spans="1:6" ht="30" customHeight="1" x14ac:dyDescent="0.3">
      <c r="A5" s="252"/>
      <c r="B5" s="252"/>
      <c r="C5" s="252"/>
      <c r="D5" s="252"/>
      <c r="E5" s="252"/>
      <c r="F5" s="252"/>
    </row>
    <row r="6" spans="1:6" ht="17.399999999999999" x14ac:dyDescent="0.3">
      <c r="A6" s="11"/>
      <c r="B6" s="11"/>
      <c r="C6" s="11"/>
      <c r="D6" s="11"/>
      <c r="E6" s="11"/>
      <c r="F6" s="11"/>
    </row>
    <row r="7" spans="1:6" ht="34.799999999999997" x14ac:dyDescent="0.3">
      <c r="A7" s="187" t="s">
        <v>0</v>
      </c>
      <c r="B7" s="187" t="s">
        <v>17</v>
      </c>
      <c r="C7" s="188" t="s">
        <v>18</v>
      </c>
      <c r="D7" s="187" t="s">
        <v>19</v>
      </c>
      <c r="E7" s="187" t="s">
        <v>20</v>
      </c>
      <c r="F7" s="187" t="s">
        <v>21</v>
      </c>
    </row>
    <row r="8" spans="1:6" ht="18" x14ac:dyDescent="0.3">
      <c r="A8" s="118">
        <v>1</v>
      </c>
      <c r="B8" s="117" t="s">
        <v>100</v>
      </c>
      <c r="C8" s="118">
        <v>16</v>
      </c>
      <c r="D8" s="118">
        <v>19</v>
      </c>
      <c r="E8" s="118">
        <v>4</v>
      </c>
      <c r="F8" s="118">
        <v>39</v>
      </c>
    </row>
    <row r="9" spans="1:6" ht="36" x14ac:dyDescent="0.3">
      <c r="A9" s="118">
        <v>2</v>
      </c>
      <c r="B9" s="117" t="s">
        <v>101</v>
      </c>
      <c r="C9" s="119">
        <v>384</v>
      </c>
      <c r="D9" s="119">
        <v>453</v>
      </c>
      <c r="E9" s="119">
        <v>78</v>
      </c>
      <c r="F9" s="119">
        <v>915</v>
      </c>
    </row>
    <row r="10" spans="1:6" ht="17.399999999999999" x14ac:dyDescent="0.3">
      <c r="A10" s="53">
        <v>3</v>
      </c>
      <c r="B10" s="120" t="s">
        <v>22</v>
      </c>
      <c r="C10" s="53">
        <v>382</v>
      </c>
      <c r="D10" s="53">
        <v>586</v>
      </c>
      <c r="E10" s="53">
        <v>134</v>
      </c>
      <c r="F10" s="53">
        <v>1102</v>
      </c>
    </row>
    <row r="11" spans="1:6" ht="18" x14ac:dyDescent="0.3">
      <c r="A11" s="118">
        <v>4</v>
      </c>
      <c r="B11" s="117" t="s">
        <v>23</v>
      </c>
      <c r="C11" s="118"/>
      <c r="D11" s="118"/>
      <c r="E11" s="118"/>
      <c r="F11" s="118"/>
    </row>
    <row r="12" spans="1:6" ht="18" x14ac:dyDescent="0.3">
      <c r="A12" s="118">
        <v>5</v>
      </c>
      <c r="B12" s="117" t="s">
        <v>24</v>
      </c>
      <c r="C12" s="118"/>
      <c r="D12" s="118"/>
      <c r="E12" s="118"/>
      <c r="F12" s="118"/>
    </row>
    <row r="13" spans="1:6" ht="18" x14ac:dyDescent="0.3">
      <c r="A13" s="118">
        <v>6</v>
      </c>
      <c r="B13" s="117" t="s">
        <v>77</v>
      </c>
      <c r="C13" s="118">
        <v>14</v>
      </c>
      <c r="D13" s="118">
        <v>18</v>
      </c>
      <c r="E13" s="118"/>
      <c r="F13" s="118">
        <v>32</v>
      </c>
    </row>
    <row r="14" spans="1:6" ht="18" x14ac:dyDescent="0.3">
      <c r="A14" s="118">
        <v>7</v>
      </c>
      <c r="B14" s="117" t="s">
        <v>25</v>
      </c>
      <c r="C14" s="118"/>
      <c r="D14" s="118"/>
      <c r="E14" s="118"/>
      <c r="F14" s="118"/>
    </row>
    <row r="15" spans="1:6" ht="17.399999999999999" x14ac:dyDescent="0.3">
      <c r="A15" s="53">
        <v>8</v>
      </c>
      <c r="B15" s="120" t="s">
        <v>26</v>
      </c>
      <c r="C15" s="53">
        <v>18</v>
      </c>
      <c r="D15" s="53">
        <v>66</v>
      </c>
      <c r="E15" s="53">
        <v>5</v>
      </c>
      <c r="F15" s="53">
        <v>89</v>
      </c>
    </row>
    <row r="16" spans="1:6" ht="18" x14ac:dyDescent="0.3">
      <c r="A16" s="118">
        <v>9</v>
      </c>
      <c r="B16" s="117" t="s">
        <v>27</v>
      </c>
      <c r="C16" s="118"/>
      <c r="D16" s="118">
        <v>23</v>
      </c>
      <c r="E16" s="118"/>
      <c r="F16" s="118">
        <v>23</v>
      </c>
    </row>
    <row r="17" spans="1:6" ht="21.75" customHeight="1" x14ac:dyDescent="0.3">
      <c r="A17" s="118">
        <v>10</v>
      </c>
      <c r="B17" s="117" t="s">
        <v>28</v>
      </c>
      <c r="C17" s="118"/>
      <c r="D17" s="118"/>
      <c r="E17" s="118"/>
      <c r="F17" s="118"/>
    </row>
    <row r="18" spans="1:6" ht="18" x14ac:dyDescent="0.3">
      <c r="A18" s="118">
        <v>11</v>
      </c>
      <c r="B18" s="117" t="s">
        <v>29</v>
      </c>
      <c r="C18" s="118"/>
      <c r="D18" s="118"/>
      <c r="E18" s="118"/>
      <c r="F18" s="118"/>
    </row>
    <row r="19" spans="1:6" ht="18" x14ac:dyDescent="0.3">
      <c r="A19" s="118">
        <v>12</v>
      </c>
      <c r="B19" s="117" t="s">
        <v>30</v>
      </c>
      <c r="C19" s="118">
        <v>12</v>
      </c>
      <c r="D19" s="118">
        <v>33</v>
      </c>
      <c r="E19" s="118">
        <v>3</v>
      </c>
      <c r="F19" s="118">
        <v>48</v>
      </c>
    </row>
    <row r="20" spans="1:6" ht="18" x14ac:dyDescent="0.3">
      <c r="A20" s="118">
        <v>13</v>
      </c>
      <c r="B20" s="117" t="s">
        <v>11</v>
      </c>
      <c r="C20" s="118">
        <v>6</v>
      </c>
      <c r="D20" s="118">
        <v>10</v>
      </c>
      <c r="E20" s="118">
        <v>2</v>
      </c>
      <c r="F20" s="118">
        <v>18</v>
      </c>
    </row>
    <row r="21" spans="1:6" ht="18" x14ac:dyDescent="0.35">
      <c r="A21" s="189"/>
      <c r="B21" s="121" t="s">
        <v>21</v>
      </c>
      <c r="C21" s="90">
        <v>414</v>
      </c>
      <c r="D21" s="90">
        <v>670</v>
      </c>
      <c r="E21" s="90">
        <v>139</v>
      </c>
      <c r="F21" s="90">
        <v>1223</v>
      </c>
    </row>
    <row r="22" spans="1:6" ht="18" x14ac:dyDescent="0.35">
      <c r="A22" s="122"/>
      <c r="B22" s="122"/>
      <c r="C22" s="122"/>
      <c r="D22" s="122"/>
      <c r="E22" s="122"/>
      <c r="F22" s="122"/>
    </row>
    <row r="23" spans="1:6" ht="18" x14ac:dyDescent="0.35">
      <c r="A23" s="122"/>
      <c r="B23" s="122"/>
      <c r="C23" s="122"/>
      <c r="D23" s="122"/>
      <c r="E23" s="122"/>
      <c r="F23" s="122"/>
    </row>
    <row r="24" spans="1:6" ht="18" x14ac:dyDescent="0.35">
      <c r="A24" s="122"/>
      <c r="B24" s="123" t="s">
        <v>380</v>
      </c>
      <c r="C24" s="122"/>
      <c r="D24" s="122"/>
      <c r="E24" s="122"/>
      <c r="F24" s="122"/>
    </row>
  </sheetData>
  <mergeCells count="1">
    <mergeCell ref="A2:F5"/>
  </mergeCells>
  <pageMargins left="0.89583333333333337" right="0" top="0.4375" bottom="0.19791666666666666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9"/>
  <sheetViews>
    <sheetView tabSelected="1" view="pageBreakPreview" topLeftCell="A11" zoomScale="70" zoomScaleNormal="80" zoomScaleSheetLayoutView="70" zoomScalePageLayoutView="50" workbookViewId="0">
      <selection activeCell="BL99" sqref="BL99"/>
    </sheetView>
  </sheetViews>
  <sheetFormatPr defaultColWidth="9.109375" defaultRowHeight="12" x14ac:dyDescent="0.25"/>
  <cols>
    <col min="1" max="1" width="5" style="2" customWidth="1"/>
    <col min="2" max="2" width="24.6640625" style="3" customWidth="1"/>
    <col min="3" max="3" width="19.6640625" style="9" customWidth="1"/>
    <col min="4" max="4" width="13.5546875" style="14" customWidth="1"/>
    <col min="5" max="5" width="9.44140625" style="17" customWidth="1"/>
    <col min="6" max="6" width="16.44140625" style="1" customWidth="1"/>
    <col min="7" max="7" width="19.5546875" style="4" customWidth="1"/>
    <col min="8" max="8" width="13" style="4" customWidth="1"/>
    <col min="9" max="9" width="10.6640625" style="15" customWidth="1"/>
    <col min="10" max="10" width="9.5546875" style="18" customWidth="1"/>
    <col min="11" max="11" width="15.44140625" style="7" customWidth="1"/>
    <col min="12" max="15" width="10.88671875" style="1" customWidth="1"/>
    <col min="16" max="16" width="12.88671875" style="1" customWidth="1"/>
    <col min="17" max="18" width="12.6640625" style="1" customWidth="1"/>
    <col min="19" max="19" width="7.6640625" style="1" customWidth="1"/>
    <col min="20" max="20" width="10.88671875" style="1" customWidth="1"/>
    <col min="21" max="21" width="7.109375" style="13" customWidth="1"/>
    <col min="22" max="22" width="10.88671875" style="13" customWidth="1"/>
    <col min="23" max="23" width="6.88671875" style="1" customWidth="1"/>
    <col min="24" max="24" width="10.88671875" style="1" customWidth="1"/>
    <col min="25" max="25" width="8.5546875" style="1" customWidth="1"/>
    <col min="26" max="26" width="9.109375" style="1" customWidth="1"/>
    <col min="27" max="27" width="8.5546875" style="2" customWidth="1"/>
    <col min="28" max="28" width="11.6640625" style="1" customWidth="1"/>
    <col min="29" max="29" width="9.44140625" style="2" customWidth="1"/>
    <col min="30" max="30" width="12.5546875" style="1" customWidth="1"/>
    <col min="31" max="31" width="6.5546875" style="2" customWidth="1"/>
    <col min="32" max="32" width="12.33203125" style="1" customWidth="1"/>
    <col min="33" max="33" width="7.109375" style="1" customWidth="1"/>
    <col min="34" max="34" width="11" style="1" customWidth="1"/>
    <col min="35" max="35" width="7.109375" style="1" customWidth="1"/>
    <col min="36" max="36" width="10" style="1" customWidth="1"/>
    <col min="37" max="37" width="7" style="1" customWidth="1"/>
    <col min="38" max="38" width="11.33203125" style="1" customWidth="1"/>
    <col min="39" max="39" width="7" style="1" customWidth="1"/>
    <col min="40" max="40" width="10" style="7" customWidth="1"/>
    <col min="41" max="41" width="6.6640625" style="1" customWidth="1"/>
    <col min="42" max="42" width="10" style="1" customWidth="1"/>
    <col min="43" max="43" width="7" style="1" customWidth="1"/>
    <col min="44" max="44" width="10" style="1" customWidth="1"/>
    <col min="45" max="45" width="10" style="7" customWidth="1"/>
    <col min="46" max="46" width="13.44140625" style="1" customWidth="1"/>
    <col min="47" max="47" width="10" style="1" customWidth="1"/>
    <col min="48" max="48" width="10" style="2" customWidth="1"/>
    <col min="49" max="49" width="11.5546875" style="1" customWidth="1"/>
    <col min="50" max="50" width="8.5546875" style="1" customWidth="1"/>
    <col min="51" max="51" width="9.88671875" style="1" customWidth="1"/>
    <col min="52" max="52" width="13.33203125" style="1" customWidth="1"/>
    <col min="53" max="53" width="13.33203125" style="2" customWidth="1"/>
    <col min="54" max="55" width="13.33203125" style="1" customWidth="1"/>
    <col min="56" max="56" width="8.44140625" style="2" customWidth="1"/>
    <col min="57" max="57" width="11.33203125" style="1" customWidth="1"/>
    <col min="58" max="58" width="11" style="1" customWidth="1"/>
    <col min="59" max="59" width="9.33203125" style="1" customWidth="1"/>
    <col min="60" max="60" width="10.44140625" style="1" customWidth="1"/>
    <col min="61" max="61" width="10.33203125" style="1" customWidth="1"/>
    <col min="62" max="62" width="7.33203125" style="1" customWidth="1"/>
    <col min="63" max="63" width="10.6640625" style="1" customWidth="1"/>
    <col min="64" max="64" width="12.88671875" style="1" customWidth="1"/>
    <col min="65" max="65" width="15.109375" style="1" customWidth="1"/>
    <col min="66" max="66" width="10" style="1" customWidth="1"/>
    <col min="67" max="67" width="9.5546875" style="1" customWidth="1"/>
    <col min="68" max="16384" width="9.109375" style="1"/>
  </cols>
  <sheetData>
    <row r="1" spans="1:65" ht="15" customHeight="1" x14ac:dyDescent="0.35">
      <c r="A1" s="123"/>
      <c r="B1" s="124"/>
      <c r="C1" s="125"/>
      <c r="D1" s="124"/>
      <c r="E1" s="123"/>
      <c r="F1" s="108"/>
      <c r="G1" s="123"/>
      <c r="H1" s="110"/>
      <c r="I1" s="110"/>
      <c r="J1" s="123"/>
      <c r="K1" s="123"/>
      <c r="L1" s="110"/>
      <c r="M1" s="110"/>
      <c r="S1" s="253"/>
      <c r="T1" s="253"/>
      <c r="U1" s="253"/>
      <c r="V1" s="253"/>
      <c r="W1" s="253"/>
      <c r="X1" s="253"/>
      <c r="Y1" s="21"/>
      <c r="Z1" s="21"/>
      <c r="AA1" s="21"/>
      <c r="AC1" s="20"/>
      <c r="AD1" s="19"/>
      <c r="AE1" s="19"/>
      <c r="AF1" s="19"/>
      <c r="AN1" s="1"/>
      <c r="AS1" s="2"/>
      <c r="AV1" s="1"/>
      <c r="BA1" s="1"/>
      <c r="BD1" s="1"/>
    </row>
    <row r="2" spans="1:65" ht="18.75" customHeight="1" x14ac:dyDescent="0.3">
      <c r="A2" s="123"/>
      <c r="B2" s="253" t="s">
        <v>375</v>
      </c>
      <c r="C2" s="253"/>
      <c r="D2" s="253"/>
      <c r="E2" s="123"/>
      <c r="F2" s="253" t="s">
        <v>373</v>
      </c>
      <c r="G2" s="253"/>
      <c r="H2" s="253"/>
      <c r="I2" s="253"/>
      <c r="J2" s="253" t="s">
        <v>374</v>
      </c>
      <c r="K2" s="253"/>
      <c r="L2" s="253"/>
      <c r="M2" s="253"/>
      <c r="N2" s="253"/>
      <c r="O2" s="253"/>
      <c r="S2" s="253"/>
      <c r="T2" s="253"/>
      <c r="U2" s="253"/>
      <c r="V2" s="253"/>
      <c r="W2" s="253"/>
      <c r="X2" s="253"/>
      <c r="Y2" s="21"/>
      <c r="Z2" s="21"/>
      <c r="AA2" s="21"/>
      <c r="AC2" s="20"/>
      <c r="AD2" s="19"/>
      <c r="AE2" s="19"/>
      <c r="AF2" s="19"/>
      <c r="AN2" s="1"/>
      <c r="AS2" s="2"/>
      <c r="AV2" s="1"/>
      <c r="BA2" s="1"/>
      <c r="BD2" s="1"/>
    </row>
    <row r="3" spans="1:65" ht="17.399999999999999" x14ac:dyDescent="0.3">
      <c r="A3" s="123"/>
      <c r="B3" s="253"/>
      <c r="C3" s="253"/>
      <c r="D3" s="253"/>
      <c r="E3" s="123"/>
      <c r="F3" s="253"/>
      <c r="G3" s="253"/>
      <c r="H3" s="253"/>
      <c r="I3" s="253"/>
      <c r="J3" s="253"/>
      <c r="K3" s="253"/>
      <c r="L3" s="253"/>
      <c r="M3" s="253"/>
      <c r="N3" s="253"/>
      <c r="O3" s="253"/>
      <c r="S3" s="253"/>
      <c r="T3" s="253"/>
      <c r="U3" s="253"/>
      <c r="V3" s="253"/>
      <c r="W3" s="253"/>
      <c r="X3" s="253"/>
      <c r="Y3" s="21"/>
      <c r="Z3" s="21"/>
      <c r="AA3" s="21"/>
      <c r="AC3" s="20"/>
      <c r="AD3" s="19"/>
      <c r="AE3" s="19"/>
      <c r="AF3" s="19"/>
      <c r="AN3" s="1"/>
      <c r="AS3" s="2"/>
      <c r="AV3" s="1"/>
      <c r="BA3" s="1"/>
      <c r="BD3" s="1"/>
    </row>
    <row r="4" spans="1:65" ht="17.399999999999999" x14ac:dyDescent="0.3">
      <c r="A4" s="27"/>
      <c r="B4" s="253"/>
      <c r="C4" s="253"/>
      <c r="D4" s="253"/>
      <c r="E4" s="123"/>
      <c r="F4" s="253"/>
      <c r="G4" s="253"/>
      <c r="H4" s="253"/>
      <c r="I4" s="253"/>
      <c r="J4" s="253"/>
      <c r="K4" s="253"/>
      <c r="L4" s="253"/>
      <c r="M4" s="253"/>
      <c r="N4" s="253"/>
      <c r="O4" s="253"/>
      <c r="S4" s="253"/>
      <c r="T4" s="253"/>
      <c r="U4" s="253"/>
      <c r="V4" s="253"/>
      <c r="W4" s="253"/>
      <c r="X4" s="253"/>
      <c r="Y4" s="21"/>
      <c r="Z4" s="21"/>
      <c r="AA4" s="21"/>
      <c r="AC4" s="20"/>
      <c r="AD4" s="19"/>
      <c r="AE4" s="19"/>
      <c r="AF4" s="19"/>
      <c r="AN4" s="1"/>
      <c r="AS4" s="2"/>
      <c r="AV4" s="1"/>
      <c r="BA4" s="1"/>
      <c r="BD4" s="1"/>
    </row>
    <row r="5" spans="1:65" ht="17.399999999999999" x14ac:dyDescent="0.3">
      <c r="A5" s="123"/>
      <c r="B5" s="253"/>
      <c r="C5" s="253"/>
      <c r="D5" s="253"/>
      <c r="E5" s="123"/>
      <c r="F5" s="253"/>
      <c r="G5" s="253"/>
      <c r="H5" s="253"/>
      <c r="I5" s="253"/>
      <c r="J5" s="253"/>
      <c r="K5" s="253"/>
      <c r="L5" s="253"/>
      <c r="M5" s="253"/>
      <c r="N5" s="253"/>
      <c r="O5" s="253"/>
      <c r="S5" s="253"/>
      <c r="T5" s="253"/>
      <c r="U5" s="253"/>
      <c r="V5" s="253"/>
      <c r="W5" s="253"/>
      <c r="X5" s="253"/>
      <c r="Y5" s="21"/>
      <c r="Z5" s="21"/>
      <c r="AA5" s="21"/>
      <c r="AC5" s="20"/>
      <c r="AD5" s="19"/>
      <c r="AE5" s="19"/>
      <c r="AF5" s="19"/>
      <c r="AN5" s="1"/>
      <c r="AS5" s="2"/>
      <c r="AV5" s="1"/>
      <c r="BA5" s="1"/>
      <c r="BD5" s="1"/>
    </row>
    <row r="6" spans="1:65" ht="23.4" customHeight="1" thickBot="1" x14ac:dyDescent="0.4">
      <c r="A6" s="110"/>
      <c r="B6" s="183"/>
      <c r="C6" s="184" t="s">
        <v>372</v>
      </c>
      <c r="D6" s="124"/>
      <c r="E6" s="123"/>
      <c r="F6" s="108"/>
      <c r="G6" s="123"/>
      <c r="H6" s="123"/>
      <c r="I6" s="123"/>
      <c r="J6" s="253"/>
      <c r="K6" s="253"/>
      <c r="L6" s="253"/>
      <c r="M6" s="253"/>
      <c r="N6" s="253"/>
      <c r="O6" s="253"/>
      <c r="U6" s="7"/>
      <c r="V6" s="7"/>
      <c r="AA6" s="1"/>
      <c r="AC6" s="20"/>
      <c r="AD6" s="19"/>
      <c r="AE6" s="19"/>
      <c r="AF6" s="19"/>
      <c r="AN6" s="1"/>
      <c r="AS6" s="2"/>
      <c r="AV6" s="1"/>
      <c r="BA6" s="1"/>
      <c r="BD6" s="1"/>
    </row>
    <row r="7" spans="1:65" ht="23.4" customHeight="1" x14ac:dyDescent="0.35">
      <c r="A7" s="110"/>
      <c r="B7" s="185"/>
      <c r="C7" s="123"/>
      <c r="D7" s="124"/>
      <c r="E7" s="123"/>
      <c r="F7" s="108"/>
      <c r="G7" s="123"/>
      <c r="H7" s="123"/>
      <c r="I7" s="123"/>
      <c r="J7" s="186"/>
      <c r="K7" s="186"/>
      <c r="L7" s="186"/>
      <c r="M7" s="186"/>
      <c r="N7" s="186"/>
      <c r="O7" s="186"/>
      <c r="U7" s="7"/>
      <c r="V7" s="7"/>
      <c r="AA7" s="1"/>
      <c r="AC7" s="20"/>
      <c r="AD7" s="19"/>
      <c r="AE7" s="19"/>
      <c r="AF7" s="19"/>
      <c r="AN7" s="1"/>
      <c r="AS7" s="2"/>
      <c r="AV7" s="1"/>
      <c r="BA7" s="1"/>
      <c r="BD7" s="1"/>
    </row>
    <row r="8" spans="1:65" ht="21.75" customHeight="1" x14ac:dyDescent="0.3">
      <c r="A8" s="180"/>
      <c r="B8" s="126" t="s">
        <v>376</v>
      </c>
      <c r="C8" s="123"/>
      <c r="D8" s="124"/>
      <c r="E8" s="123"/>
      <c r="F8" s="108"/>
      <c r="G8" s="123"/>
      <c r="H8" s="123"/>
      <c r="I8" s="123"/>
      <c r="J8" s="182"/>
      <c r="K8" s="182"/>
      <c r="L8" s="123"/>
      <c r="M8" s="123"/>
      <c r="N8" s="21"/>
      <c r="O8" s="21"/>
      <c r="U8" s="7"/>
      <c r="V8" s="7"/>
      <c r="Y8" s="19"/>
      <c r="Z8" s="19"/>
      <c r="AA8" s="19"/>
      <c r="AB8" s="19"/>
      <c r="AC8" s="20"/>
      <c r="AD8" s="19"/>
      <c r="AE8" s="19"/>
      <c r="AF8" s="19"/>
      <c r="AN8" s="1"/>
      <c r="AS8" s="2"/>
      <c r="AV8" s="1"/>
      <c r="BA8" s="1"/>
      <c r="BD8" s="1"/>
    </row>
    <row r="9" spans="1:65" ht="21.75" customHeight="1" x14ac:dyDescent="0.35">
      <c r="A9" s="181" t="s">
        <v>129</v>
      </c>
      <c r="B9" s="181"/>
      <c r="C9" s="110"/>
      <c r="D9" s="127"/>
      <c r="E9" s="110"/>
      <c r="F9" s="128"/>
      <c r="G9" s="110"/>
      <c r="H9" s="110"/>
      <c r="I9" s="110"/>
      <c r="J9" s="129"/>
      <c r="K9" s="129"/>
      <c r="L9" s="110"/>
      <c r="M9" s="110"/>
      <c r="U9" s="7"/>
      <c r="V9" s="7"/>
      <c r="Y9" s="19"/>
      <c r="Z9" s="19"/>
      <c r="AA9" s="19"/>
      <c r="AB9" s="19"/>
      <c r="AC9" s="20"/>
      <c r="AD9" s="19"/>
      <c r="AE9" s="19"/>
      <c r="AF9" s="19"/>
      <c r="AN9" s="1"/>
      <c r="AS9" s="2"/>
      <c r="AV9" s="1"/>
      <c r="BA9" s="1"/>
      <c r="BD9" s="1"/>
    </row>
    <row r="10" spans="1:65" s="7" customFormat="1" ht="36.75" customHeight="1" x14ac:dyDescent="0.25">
      <c r="A10" s="268" t="s">
        <v>126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130"/>
      <c r="N10" s="48"/>
      <c r="O10" s="48"/>
      <c r="Y10" s="48"/>
      <c r="Z10" s="48"/>
      <c r="AA10" s="48"/>
      <c r="AB10" s="48"/>
      <c r="AC10" s="48"/>
      <c r="AD10" s="48"/>
      <c r="AE10" s="48"/>
      <c r="AF10" s="48"/>
      <c r="AS10" s="49"/>
    </row>
    <row r="11" spans="1:65" s="7" customFormat="1" ht="43.5" customHeight="1" x14ac:dyDescent="0.25">
      <c r="A11" s="267" t="s">
        <v>127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48"/>
      <c r="O11" s="48"/>
      <c r="Y11" s="48"/>
      <c r="Z11" s="48"/>
      <c r="AA11" s="48"/>
      <c r="AB11" s="48"/>
      <c r="AC11" s="48"/>
      <c r="AD11" s="48"/>
      <c r="AE11" s="48"/>
      <c r="AF11" s="48"/>
      <c r="AS11" s="49"/>
    </row>
    <row r="12" spans="1:65" s="7" customFormat="1" ht="10.199999999999999" customHeight="1" x14ac:dyDescent="0.25">
      <c r="A12" s="257"/>
      <c r="B12" s="257"/>
      <c r="C12" s="257"/>
      <c r="D12" s="257"/>
      <c r="E12" s="257"/>
      <c r="F12" s="257"/>
      <c r="G12" s="257"/>
      <c r="H12" s="50"/>
      <c r="I12" s="50"/>
      <c r="J12" s="47"/>
      <c r="K12" s="48"/>
      <c r="L12" s="48"/>
      <c r="M12" s="48"/>
      <c r="N12" s="48"/>
      <c r="O12" s="48"/>
      <c r="Y12" s="48"/>
      <c r="Z12" s="48"/>
      <c r="AA12" s="48"/>
      <c r="AB12" s="48"/>
      <c r="AC12" s="48"/>
      <c r="AD12" s="48"/>
      <c r="AE12" s="48"/>
      <c r="AF12" s="48"/>
      <c r="AS12" s="49"/>
    </row>
    <row r="13" spans="1:65" ht="12.6" thickBot="1" x14ac:dyDescent="0.3"/>
    <row r="14" spans="1:65" s="39" customFormat="1" ht="21.6" customHeight="1" x14ac:dyDescent="0.3">
      <c r="A14" s="258" t="s">
        <v>0</v>
      </c>
      <c r="B14" s="261" t="s">
        <v>31</v>
      </c>
      <c r="C14" s="261" t="s">
        <v>61</v>
      </c>
      <c r="D14" s="261" t="s">
        <v>63</v>
      </c>
      <c r="E14" s="264" t="s">
        <v>64</v>
      </c>
      <c r="F14" s="261" t="s">
        <v>32</v>
      </c>
      <c r="G14" s="261" t="s">
        <v>128</v>
      </c>
      <c r="H14" s="261" t="s">
        <v>33</v>
      </c>
      <c r="I14" s="284" t="s">
        <v>8</v>
      </c>
      <c r="J14" s="287" t="s">
        <v>9</v>
      </c>
      <c r="K14" s="254" t="s">
        <v>10</v>
      </c>
      <c r="L14" s="269" t="s">
        <v>66</v>
      </c>
      <c r="M14" s="269" t="s">
        <v>41</v>
      </c>
      <c r="N14" s="269"/>
      <c r="O14" s="269"/>
      <c r="P14" s="269" t="s">
        <v>42</v>
      </c>
      <c r="Q14" s="269"/>
      <c r="R14" s="269"/>
      <c r="S14" s="269" t="s">
        <v>67</v>
      </c>
      <c r="T14" s="269"/>
      <c r="U14" s="269"/>
      <c r="V14" s="269"/>
      <c r="W14" s="269"/>
      <c r="X14" s="269"/>
      <c r="Y14" s="269" t="s">
        <v>65</v>
      </c>
      <c r="Z14" s="269"/>
      <c r="AA14" s="269"/>
      <c r="AB14" s="269"/>
      <c r="AC14" s="269"/>
      <c r="AD14" s="269"/>
      <c r="AE14" s="269"/>
      <c r="AF14" s="269"/>
      <c r="AG14" s="270" t="s">
        <v>86</v>
      </c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 t="s">
        <v>79</v>
      </c>
      <c r="AT14" s="270"/>
      <c r="AU14" s="269" t="s">
        <v>69</v>
      </c>
      <c r="AV14" s="269"/>
      <c r="AW14" s="269"/>
      <c r="AX14" s="269"/>
      <c r="AY14" s="269"/>
      <c r="AZ14" s="269" t="s">
        <v>97</v>
      </c>
      <c r="BA14" s="269"/>
      <c r="BB14" s="269"/>
      <c r="BC14" s="269" t="s">
        <v>98</v>
      </c>
      <c r="BD14" s="269" t="s">
        <v>76</v>
      </c>
      <c r="BE14" s="269"/>
      <c r="BF14" s="269"/>
      <c r="BG14" s="269"/>
      <c r="BH14" s="269" t="s">
        <v>6</v>
      </c>
      <c r="BI14" s="278" t="s">
        <v>5</v>
      </c>
      <c r="BJ14" s="278" t="s">
        <v>44</v>
      </c>
      <c r="BK14" s="269" t="s">
        <v>45</v>
      </c>
      <c r="BL14" s="269" t="s">
        <v>99</v>
      </c>
      <c r="BM14" s="275" t="s">
        <v>21</v>
      </c>
    </row>
    <row r="15" spans="1:65" s="39" customFormat="1" ht="30.6" customHeight="1" x14ac:dyDescent="0.3">
      <c r="A15" s="259"/>
      <c r="B15" s="262"/>
      <c r="C15" s="262"/>
      <c r="D15" s="262"/>
      <c r="E15" s="265"/>
      <c r="F15" s="262"/>
      <c r="G15" s="262"/>
      <c r="H15" s="262"/>
      <c r="I15" s="285"/>
      <c r="J15" s="288"/>
      <c r="K15" s="255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 t="s">
        <v>87</v>
      </c>
      <c r="AH15" s="271"/>
      <c r="AI15" s="271"/>
      <c r="AJ15" s="271"/>
      <c r="AK15" s="271" t="s">
        <v>88</v>
      </c>
      <c r="AL15" s="271"/>
      <c r="AM15" s="271"/>
      <c r="AN15" s="271"/>
      <c r="AO15" s="271" t="s">
        <v>89</v>
      </c>
      <c r="AP15" s="271"/>
      <c r="AQ15" s="271"/>
      <c r="AR15" s="271"/>
      <c r="AS15" s="273" t="s">
        <v>68</v>
      </c>
      <c r="AT15" s="271" t="s">
        <v>70</v>
      </c>
      <c r="AU15" s="271" t="s">
        <v>71</v>
      </c>
      <c r="AV15" s="271" t="s">
        <v>72</v>
      </c>
      <c r="AW15" s="271"/>
      <c r="AX15" s="271" t="s">
        <v>43</v>
      </c>
      <c r="AY15" s="271" t="s">
        <v>75</v>
      </c>
      <c r="AZ15" s="271"/>
      <c r="BA15" s="271"/>
      <c r="BB15" s="271"/>
      <c r="BC15" s="271"/>
      <c r="BD15" s="271"/>
      <c r="BE15" s="271"/>
      <c r="BF15" s="271"/>
      <c r="BG15" s="271"/>
      <c r="BH15" s="271"/>
      <c r="BI15" s="279"/>
      <c r="BJ15" s="279"/>
      <c r="BK15" s="271"/>
      <c r="BL15" s="271"/>
      <c r="BM15" s="276"/>
    </row>
    <row r="16" spans="1:65" s="45" customFormat="1" ht="117.75" customHeight="1" thickBot="1" x14ac:dyDescent="0.35">
      <c r="A16" s="260"/>
      <c r="B16" s="263"/>
      <c r="C16" s="263"/>
      <c r="D16" s="263"/>
      <c r="E16" s="266"/>
      <c r="F16" s="263"/>
      <c r="G16" s="263"/>
      <c r="H16" s="263"/>
      <c r="I16" s="286"/>
      <c r="J16" s="289"/>
      <c r="K16" s="256"/>
      <c r="L16" s="272"/>
      <c r="M16" s="40" t="s">
        <v>2</v>
      </c>
      <c r="N16" s="40" t="s">
        <v>3</v>
      </c>
      <c r="O16" s="40" t="s">
        <v>4</v>
      </c>
      <c r="P16" s="40" t="s">
        <v>2</v>
      </c>
      <c r="Q16" s="40" t="s">
        <v>3</v>
      </c>
      <c r="R16" s="40" t="s">
        <v>4</v>
      </c>
      <c r="S16" s="46" t="s">
        <v>83</v>
      </c>
      <c r="T16" s="42" t="s">
        <v>82</v>
      </c>
      <c r="U16" s="42" t="s">
        <v>84</v>
      </c>
      <c r="V16" s="42" t="s">
        <v>82</v>
      </c>
      <c r="W16" s="42" t="s">
        <v>85</v>
      </c>
      <c r="X16" s="42" t="s">
        <v>82</v>
      </c>
      <c r="Y16" s="42" t="s">
        <v>34</v>
      </c>
      <c r="Z16" s="42" t="s">
        <v>35</v>
      </c>
      <c r="AA16" s="42" t="s">
        <v>36</v>
      </c>
      <c r="AB16" s="42" t="s">
        <v>37</v>
      </c>
      <c r="AC16" s="42" t="s">
        <v>38</v>
      </c>
      <c r="AD16" s="42" t="s">
        <v>39</v>
      </c>
      <c r="AE16" s="42" t="s">
        <v>40</v>
      </c>
      <c r="AF16" s="42" t="s">
        <v>1</v>
      </c>
      <c r="AG16" s="40" t="s">
        <v>81</v>
      </c>
      <c r="AH16" s="42" t="s">
        <v>287</v>
      </c>
      <c r="AI16" s="40" t="s">
        <v>81</v>
      </c>
      <c r="AJ16" s="42" t="s">
        <v>90</v>
      </c>
      <c r="AK16" s="40" t="s">
        <v>81</v>
      </c>
      <c r="AL16" s="42" t="s">
        <v>90</v>
      </c>
      <c r="AM16" s="40" t="s">
        <v>81</v>
      </c>
      <c r="AN16" s="42" t="s">
        <v>90</v>
      </c>
      <c r="AO16" s="40" t="s">
        <v>81</v>
      </c>
      <c r="AP16" s="42" t="s">
        <v>203</v>
      </c>
      <c r="AQ16" s="40" t="s">
        <v>81</v>
      </c>
      <c r="AR16" s="42" t="s">
        <v>90</v>
      </c>
      <c r="AS16" s="274"/>
      <c r="AT16" s="272"/>
      <c r="AU16" s="272"/>
      <c r="AV16" s="41" t="s">
        <v>73</v>
      </c>
      <c r="AW16" s="43" t="s">
        <v>74</v>
      </c>
      <c r="AX16" s="272"/>
      <c r="AY16" s="272"/>
      <c r="AZ16" s="40" t="s">
        <v>2</v>
      </c>
      <c r="BA16" s="40" t="s">
        <v>3</v>
      </c>
      <c r="BB16" s="40" t="s">
        <v>4</v>
      </c>
      <c r="BC16" s="44" t="s">
        <v>78</v>
      </c>
      <c r="BD16" s="41" t="s">
        <v>80</v>
      </c>
      <c r="BE16" s="40" t="s">
        <v>7</v>
      </c>
      <c r="BF16" s="40" t="s">
        <v>3</v>
      </c>
      <c r="BG16" s="40" t="s">
        <v>4</v>
      </c>
      <c r="BH16" s="272"/>
      <c r="BI16" s="280"/>
      <c r="BJ16" s="280"/>
      <c r="BK16" s="272"/>
      <c r="BL16" s="272"/>
      <c r="BM16" s="277"/>
    </row>
    <row r="17" spans="1:67" s="45" customFormat="1" ht="17.399999999999999" x14ac:dyDescent="0.3">
      <c r="A17" s="55"/>
      <c r="B17" s="55"/>
      <c r="C17" s="55"/>
      <c r="D17" s="55"/>
      <c r="E17" s="56"/>
      <c r="F17" s="55"/>
      <c r="G17" s="55"/>
      <c r="H17" s="55"/>
      <c r="I17" s="57"/>
      <c r="J17" s="58"/>
      <c r="K17" s="59"/>
      <c r="L17" s="60"/>
      <c r="M17" s="61"/>
      <c r="N17" s="61"/>
      <c r="O17" s="61"/>
      <c r="P17" s="61"/>
      <c r="Q17" s="61"/>
      <c r="R17" s="61"/>
      <c r="S17" s="62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1"/>
      <c r="AH17" s="63"/>
      <c r="AI17" s="61"/>
      <c r="AJ17" s="63"/>
      <c r="AK17" s="61"/>
      <c r="AL17" s="63"/>
      <c r="AM17" s="61"/>
      <c r="AN17" s="63"/>
      <c r="AO17" s="61"/>
      <c r="AP17" s="63"/>
      <c r="AQ17" s="61"/>
      <c r="AR17" s="63"/>
      <c r="AS17" s="64"/>
      <c r="AT17" s="60"/>
      <c r="AU17" s="60"/>
      <c r="AV17" s="60"/>
      <c r="AW17" s="65"/>
      <c r="AX17" s="60"/>
      <c r="AY17" s="60"/>
      <c r="AZ17" s="61"/>
      <c r="BA17" s="61"/>
      <c r="BB17" s="61"/>
      <c r="BC17" s="66"/>
      <c r="BD17" s="60"/>
      <c r="BE17" s="61"/>
      <c r="BF17" s="61"/>
      <c r="BG17" s="61"/>
      <c r="BH17" s="60"/>
      <c r="BI17" s="60"/>
      <c r="BJ17" s="60"/>
      <c r="BK17" s="60"/>
      <c r="BL17" s="60"/>
      <c r="BM17" s="60"/>
    </row>
    <row r="18" spans="1:67" s="45" customFormat="1" ht="18" x14ac:dyDescent="0.35">
      <c r="A18" s="51"/>
      <c r="B18" s="70" t="s">
        <v>131</v>
      </c>
      <c r="C18" s="70" t="s">
        <v>368</v>
      </c>
      <c r="D18" s="70" t="s">
        <v>191</v>
      </c>
      <c r="E18" s="109">
        <v>23.1</v>
      </c>
      <c r="F18" s="70" t="s">
        <v>204</v>
      </c>
      <c r="G18" s="70" t="s">
        <v>1</v>
      </c>
      <c r="H18" s="51"/>
      <c r="I18" s="70" t="s">
        <v>196</v>
      </c>
      <c r="J18" s="71">
        <v>5.08</v>
      </c>
      <c r="K18" s="81">
        <f>J18*17697*2</f>
        <v>179801.52</v>
      </c>
      <c r="L18" s="53">
        <f>M18+N18+O18</f>
        <v>4</v>
      </c>
      <c r="M18" s="70">
        <v>4</v>
      </c>
      <c r="N18" s="70"/>
      <c r="O18" s="70">
        <v>0</v>
      </c>
      <c r="P18" s="83">
        <f>K18/16*M18</f>
        <v>44950.38</v>
      </c>
      <c r="Q18" s="83">
        <f>K18/16*N18</f>
        <v>0</v>
      </c>
      <c r="R18" s="83">
        <f>K18/16*O18</f>
        <v>0</v>
      </c>
      <c r="S18" s="68"/>
      <c r="T18" s="69"/>
      <c r="U18" s="69"/>
      <c r="V18" s="69"/>
      <c r="W18" s="69"/>
      <c r="X18" s="69"/>
      <c r="Y18" s="69"/>
      <c r="Z18" s="86">
        <f t="shared" ref="Z18:Z56" si="0">K18/16*Y18*50%</f>
        <v>0</v>
      </c>
      <c r="AA18" s="85"/>
      <c r="AB18" s="83">
        <f t="shared" ref="AB18:AB82" si="1">K18/16*AA18*40%</f>
        <v>0</v>
      </c>
      <c r="AC18" s="83"/>
      <c r="AD18" s="83">
        <f>K18/16*AC18*35%</f>
        <v>0</v>
      </c>
      <c r="AE18" s="133">
        <v>4</v>
      </c>
      <c r="AF18" s="132">
        <f>K18/16*AE18*30%</f>
        <v>13485.114</v>
      </c>
      <c r="AG18" s="88">
        <v>0</v>
      </c>
      <c r="AH18" s="88">
        <f>17697/16*AG18*40%</f>
        <v>0</v>
      </c>
      <c r="AI18" s="88"/>
      <c r="AJ18" s="88"/>
      <c r="AK18" s="88"/>
      <c r="AL18" s="88">
        <f t="shared" ref="AL18:AL23" si="2">17697/16*AK18*50%</f>
        <v>0</v>
      </c>
      <c r="AM18" s="97"/>
      <c r="AN18" s="88">
        <f t="shared" ref="AN18:AN27" si="3">17697/16*AM18*20%</f>
        <v>0</v>
      </c>
      <c r="AO18" s="88"/>
      <c r="AP18" s="88"/>
      <c r="AQ18" s="88"/>
      <c r="AR18" s="88"/>
      <c r="AS18" s="89"/>
      <c r="AT18" s="88">
        <f>K18/16*AS18*30%</f>
        <v>0</v>
      </c>
      <c r="AU18" s="88"/>
      <c r="AV18" s="88">
        <v>3.5</v>
      </c>
      <c r="AW18" s="88">
        <f>17697*AV18*40%/16</f>
        <v>1548.4875000000002</v>
      </c>
      <c r="AX18" s="88"/>
      <c r="AY18" s="88">
        <f>17697*AX18*40%/16</f>
        <v>0</v>
      </c>
      <c r="AZ18" s="84"/>
      <c r="BA18" s="88"/>
      <c r="BB18" s="88"/>
      <c r="BC18" s="88">
        <f>K18/16*BA18</f>
        <v>0</v>
      </c>
      <c r="BD18" s="88"/>
      <c r="BE18" s="88">
        <v>0</v>
      </c>
      <c r="BF18" s="88">
        <v>0</v>
      </c>
      <c r="BG18" s="88">
        <v>0</v>
      </c>
      <c r="BH18" s="71">
        <v>0</v>
      </c>
      <c r="BI18" s="93">
        <v>0</v>
      </c>
      <c r="BJ18" s="88">
        <v>0</v>
      </c>
      <c r="BK18" s="94">
        <v>0</v>
      </c>
      <c r="BL18" s="88">
        <f>(P18+Q18+R18)*10%</f>
        <v>4495.0379999999996</v>
      </c>
      <c r="BM18" s="88">
        <f>P18+Q18+R18+Z18+AB18+AD18+AF18+AH18+AL18+AN18+AT18+AW18+AY18+BC18+BE18+BF18+BG18+BH18+BI18+BJ18+BK18+BL18</f>
        <v>64479.019500000002</v>
      </c>
      <c r="BO18" s="116">
        <v>10</v>
      </c>
    </row>
    <row r="19" spans="1:67" s="45" customFormat="1" ht="18" x14ac:dyDescent="0.35">
      <c r="A19" s="51"/>
      <c r="B19" s="70" t="s">
        <v>131</v>
      </c>
      <c r="C19" s="70" t="s">
        <v>368</v>
      </c>
      <c r="D19" s="70" t="s">
        <v>191</v>
      </c>
      <c r="E19" s="109">
        <v>23.1</v>
      </c>
      <c r="F19" s="70" t="s">
        <v>285</v>
      </c>
      <c r="G19" s="70" t="s">
        <v>194</v>
      </c>
      <c r="H19" s="51"/>
      <c r="I19" s="70" t="s">
        <v>197</v>
      </c>
      <c r="J19" s="71">
        <v>4.67</v>
      </c>
      <c r="K19" s="81">
        <f>J19*17697*2</f>
        <v>165289.98000000001</v>
      </c>
      <c r="L19" s="53">
        <f>M19+N19+O19</f>
        <v>4</v>
      </c>
      <c r="M19" s="70">
        <v>0</v>
      </c>
      <c r="N19" s="70">
        <v>4</v>
      </c>
      <c r="O19" s="70">
        <v>0</v>
      </c>
      <c r="P19" s="83">
        <f>K19/16*M19</f>
        <v>0</v>
      </c>
      <c r="Q19" s="83">
        <f>K19/16*N19</f>
        <v>41322.495000000003</v>
      </c>
      <c r="R19" s="83">
        <f>K19/16*O19</f>
        <v>0</v>
      </c>
      <c r="S19" s="68"/>
      <c r="T19" s="69"/>
      <c r="U19" s="69"/>
      <c r="V19" s="69"/>
      <c r="W19" s="69"/>
      <c r="X19" s="69"/>
      <c r="Y19" s="69"/>
      <c r="Z19" s="86">
        <f t="shared" ref="Z19" si="4">K19/16*Y19*50%</f>
        <v>0</v>
      </c>
      <c r="AA19" s="85"/>
      <c r="AB19" s="83">
        <f t="shared" ref="AB19" si="5">K19/16*AA19*40%</f>
        <v>0</v>
      </c>
      <c r="AC19" s="83"/>
      <c r="AD19" s="83">
        <f>K19/16*AC19*35%</f>
        <v>0</v>
      </c>
      <c r="AE19" s="133">
        <v>0</v>
      </c>
      <c r="AF19" s="132">
        <f>K19/16*AE19*30%</f>
        <v>0</v>
      </c>
      <c r="AG19" s="88">
        <v>0</v>
      </c>
      <c r="AH19" s="88">
        <f>17697/16*AG19*40%</f>
        <v>0</v>
      </c>
      <c r="AI19" s="88"/>
      <c r="AJ19" s="88"/>
      <c r="AK19" s="88"/>
      <c r="AL19" s="88">
        <f t="shared" ref="AL19" si="6">17697/16*AK19*50%</f>
        <v>0</v>
      </c>
      <c r="AM19" s="97"/>
      <c r="AN19" s="88">
        <f t="shared" ref="AN19" si="7">17697/16*AM19*20%</f>
        <v>0</v>
      </c>
      <c r="AO19" s="88"/>
      <c r="AP19" s="88"/>
      <c r="AQ19" s="88"/>
      <c r="AR19" s="88"/>
      <c r="AS19" s="89">
        <v>4</v>
      </c>
      <c r="AT19" s="88">
        <f>K19/16*AS19*30%</f>
        <v>12396.7485</v>
      </c>
      <c r="AU19" s="88"/>
      <c r="AV19" s="88">
        <v>0</v>
      </c>
      <c r="AW19" s="88">
        <f>17697*AV19*40%/16</f>
        <v>0</v>
      </c>
      <c r="AX19" s="88"/>
      <c r="AY19" s="88">
        <f>17697*AX19*40%/16</f>
        <v>0</v>
      </c>
      <c r="AZ19" s="84"/>
      <c r="BA19" s="88"/>
      <c r="BB19" s="88"/>
      <c r="BC19" s="88">
        <f>K19/16*BA19</f>
        <v>0</v>
      </c>
      <c r="BD19" s="88"/>
      <c r="BE19" s="88">
        <v>0</v>
      </c>
      <c r="BF19" s="88">
        <v>0</v>
      </c>
      <c r="BG19" s="88">
        <v>0</v>
      </c>
      <c r="BH19" s="71">
        <v>0</v>
      </c>
      <c r="BI19" s="93">
        <v>0</v>
      </c>
      <c r="BJ19" s="88">
        <v>0</v>
      </c>
      <c r="BK19" s="94">
        <v>0</v>
      </c>
      <c r="BL19" s="88">
        <f t="shared" ref="BL19:BL82" si="8">(P19+Q19+R19)*10%</f>
        <v>4132.2495000000008</v>
      </c>
      <c r="BM19" s="88">
        <f>P19+Q19+R19+Z19+AB19+AD19+AF19+AH19+AL19+AN19+AT19+AW19+AY19+BC19+BE19+BF19+BG19+BH19+BI19+BJ19+BK19+BL19</f>
        <v>57851.493000000002</v>
      </c>
      <c r="BO19" s="116"/>
    </row>
    <row r="20" spans="1:67" s="45" customFormat="1" ht="18" x14ac:dyDescent="0.35">
      <c r="A20" s="51"/>
      <c r="B20" s="70" t="s">
        <v>132</v>
      </c>
      <c r="C20" s="70" t="s">
        <v>369</v>
      </c>
      <c r="D20" s="70" t="s">
        <v>191</v>
      </c>
      <c r="E20" s="111">
        <v>25</v>
      </c>
      <c r="F20" s="70" t="s">
        <v>204</v>
      </c>
      <c r="G20" s="70" t="s">
        <v>1</v>
      </c>
      <c r="H20" s="51"/>
      <c r="I20" s="70" t="s">
        <v>196</v>
      </c>
      <c r="J20" s="71">
        <v>5.16</v>
      </c>
      <c r="K20" s="81">
        <f>J20*17697*2</f>
        <v>182633.04</v>
      </c>
      <c r="L20" s="53">
        <f t="shared" ref="L20:L82" si="9">M20+N20+O20</f>
        <v>19</v>
      </c>
      <c r="M20" s="70">
        <v>19</v>
      </c>
      <c r="N20" s="70"/>
      <c r="O20" s="70"/>
      <c r="P20" s="83">
        <f t="shared" ref="P20:P82" si="10">K20/16*M20</f>
        <v>216876.73500000002</v>
      </c>
      <c r="Q20" s="83">
        <f t="shared" ref="Q20:Q82" si="11">K20/16*N20</f>
        <v>0</v>
      </c>
      <c r="R20" s="83">
        <f t="shared" ref="R20:R82" si="12">K20/16*O20</f>
        <v>0</v>
      </c>
      <c r="S20" s="68"/>
      <c r="T20" s="69"/>
      <c r="U20" s="69"/>
      <c r="V20" s="69"/>
      <c r="W20" s="69"/>
      <c r="X20" s="69"/>
      <c r="Y20" s="69"/>
      <c r="Z20" s="86">
        <f t="shared" si="0"/>
        <v>0</v>
      </c>
      <c r="AA20" s="85"/>
      <c r="AB20" s="83">
        <f t="shared" si="1"/>
        <v>0</v>
      </c>
      <c r="AC20" s="83"/>
      <c r="AD20" s="83">
        <f t="shared" ref="AD20:AD82" si="13">K20/16*AC20*35%</f>
        <v>0</v>
      </c>
      <c r="AE20" s="133">
        <v>19</v>
      </c>
      <c r="AF20" s="132">
        <f t="shared" ref="AF20:AF82" si="14">K20/16*AE20*30%</f>
        <v>65063.020499999999</v>
      </c>
      <c r="AG20" s="88">
        <v>12</v>
      </c>
      <c r="AH20" s="88">
        <f>17697/16*AG20*40%</f>
        <v>5309.1</v>
      </c>
      <c r="AI20" s="88"/>
      <c r="AJ20" s="88"/>
      <c r="AK20" s="88"/>
      <c r="AL20" s="88">
        <f t="shared" si="2"/>
        <v>0</v>
      </c>
      <c r="AM20" s="97"/>
      <c r="AN20" s="88">
        <f t="shared" si="3"/>
        <v>0</v>
      </c>
      <c r="AO20" s="88"/>
      <c r="AP20" s="88"/>
      <c r="AQ20" s="88"/>
      <c r="AR20" s="88"/>
      <c r="AS20" s="89">
        <f t="shared" ref="AS20:AS81" si="15">L20+BA20</f>
        <v>19</v>
      </c>
      <c r="AT20" s="88">
        <f t="shared" ref="AT20:AT82" si="16">K20/16*AS20*30%</f>
        <v>65063.020499999999</v>
      </c>
      <c r="AU20" s="88"/>
      <c r="AV20" s="88">
        <v>19</v>
      </c>
      <c r="AW20" s="88">
        <f t="shared" ref="AW20:AW82" si="17">17697*AV20*40%/16</f>
        <v>8406.0750000000007</v>
      </c>
      <c r="AX20" s="88"/>
      <c r="AY20" s="88">
        <f t="shared" ref="AY20:AY82" si="18">17697*AX20*40%/16</f>
        <v>0</v>
      </c>
      <c r="AZ20" s="84"/>
      <c r="BA20" s="88"/>
      <c r="BB20" s="88"/>
      <c r="BC20" s="88">
        <f t="shared" ref="BC20:BC82" si="19">K20/16*BA20</f>
        <v>0</v>
      </c>
      <c r="BD20" s="88" t="s">
        <v>329</v>
      </c>
      <c r="BE20" s="88">
        <v>8849</v>
      </c>
      <c r="BF20" s="88"/>
      <c r="BG20" s="88"/>
      <c r="BH20" s="71"/>
      <c r="BI20" s="91"/>
      <c r="BJ20" s="88"/>
      <c r="BK20" s="94"/>
      <c r="BL20" s="88">
        <f t="shared" si="8"/>
        <v>21687.673500000004</v>
      </c>
      <c r="BM20" s="88">
        <f t="shared" ref="BM20:BM82" si="20">P20+Q20+R20+Z20+AB20+AD20+AF20+AH20+AL20+AN20+AT20+AW20+AY20+BC20+BE20+BF20+BG20+BH20+BI20+BJ20+BK20+BL20</f>
        <v>391254.62450000003</v>
      </c>
      <c r="BO20" s="116">
        <v>19</v>
      </c>
    </row>
    <row r="21" spans="1:67" s="45" customFormat="1" ht="18" x14ac:dyDescent="0.35">
      <c r="A21" s="51"/>
      <c r="B21" s="70" t="s">
        <v>133</v>
      </c>
      <c r="C21" s="70" t="s">
        <v>370</v>
      </c>
      <c r="D21" s="70" t="s">
        <v>191</v>
      </c>
      <c r="E21" s="109">
        <v>25.9</v>
      </c>
      <c r="F21" s="70" t="s">
        <v>204</v>
      </c>
      <c r="G21" s="70" t="s">
        <v>194</v>
      </c>
      <c r="H21" s="51"/>
      <c r="I21" s="70" t="s">
        <v>197</v>
      </c>
      <c r="J21" s="71">
        <v>4.7300000000000004</v>
      </c>
      <c r="K21" s="81">
        <f t="shared" ref="K21:K43" si="21">J21*17697*2</f>
        <v>167413.62000000002</v>
      </c>
      <c r="L21" s="53">
        <f t="shared" si="9"/>
        <v>2</v>
      </c>
      <c r="M21" s="70">
        <v>2</v>
      </c>
      <c r="N21" s="70"/>
      <c r="O21" s="70"/>
      <c r="P21" s="83">
        <f t="shared" si="10"/>
        <v>20926.702500000003</v>
      </c>
      <c r="Q21" s="83">
        <f t="shared" si="11"/>
        <v>0</v>
      </c>
      <c r="R21" s="83">
        <f t="shared" si="12"/>
        <v>0</v>
      </c>
      <c r="S21" s="68"/>
      <c r="T21" s="69"/>
      <c r="U21" s="69"/>
      <c r="V21" s="69"/>
      <c r="W21" s="69"/>
      <c r="X21" s="69"/>
      <c r="Y21" s="69"/>
      <c r="Z21" s="86">
        <f t="shared" si="0"/>
        <v>0</v>
      </c>
      <c r="AA21" s="85"/>
      <c r="AB21" s="83">
        <f t="shared" si="1"/>
        <v>0</v>
      </c>
      <c r="AC21" s="83"/>
      <c r="AD21" s="83">
        <f t="shared" si="13"/>
        <v>0</v>
      </c>
      <c r="AE21" s="133"/>
      <c r="AF21" s="132">
        <f t="shared" si="14"/>
        <v>0</v>
      </c>
      <c r="AG21" s="88"/>
      <c r="AH21" s="88">
        <f t="shared" ref="AH21:AH22" si="22">17697/16*AG21*40%</f>
        <v>0</v>
      </c>
      <c r="AI21" s="88"/>
      <c r="AJ21" s="88"/>
      <c r="AK21" s="88"/>
      <c r="AL21" s="88">
        <f t="shared" si="2"/>
        <v>0</v>
      </c>
      <c r="AM21" s="97"/>
      <c r="AN21" s="88">
        <f t="shared" si="3"/>
        <v>0</v>
      </c>
      <c r="AO21" s="88"/>
      <c r="AP21" s="88"/>
      <c r="AQ21" s="88"/>
      <c r="AR21" s="88"/>
      <c r="AS21" s="89">
        <f t="shared" si="15"/>
        <v>2</v>
      </c>
      <c r="AT21" s="88">
        <f t="shared" si="16"/>
        <v>6278.0107500000004</v>
      </c>
      <c r="AU21" s="88"/>
      <c r="AV21" s="88">
        <v>1</v>
      </c>
      <c r="AW21" s="88">
        <f t="shared" si="17"/>
        <v>442.42500000000001</v>
      </c>
      <c r="AX21" s="88"/>
      <c r="AY21" s="88">
        <f t="shared" si="18"/>
        <v>0</v>
      </c>
      <c r="AZ21" s="84"/>
      <c r="BA21" s="88"/>
      <c r="BB21" s="88"/>
      <c r="BC21" s="88">
        <f t="shared" si="19"/>
        <v>0</v>
      </c>
      <c r="BD21" s="88"/>
      <c r="BE21" s="88"/>
      <c r="BF21" s="88"/>
      <c r="BG21" s="88"/>
      <c r="BH21" s="71"/>
      <c r="BI21" s="91"/>
      <c r="BJ21" s="88"/>
      <c r="BK21" s="94"/>
      <c r="BL21" s="88">
        <f t="shared" si="8"/>
        <v>2092.6702500000006</v>
      </c>
      <c r="BM21" s="88">
        <f t="shared" si="20"/>
        <v>29739.808500000003</v>
      </c>
      <c r="BO21" s="116">
        <v>2</v>
      </c>
    </row>
    <row r="22" spans="1:67" s="45" customFormat="1" ht="18" x14ac:dyDescent="0.35">
      <c r="A22" s="51"/>
      <c r="B22" s="70" t="s">
        <v>134</v>
      </c>
      <c r="C22" s="70" t="s">
        <v>369</v>
      </c>
      <c r="D22" s="70" t="s">
        <v>192</v>
      </c>
      <c r="E22" s="111">
        <v>15</v>
      </c>
      <c r="F22" s="70" t="s">
        <v>205</v>
      </c>
      <c r="G22" s="70" t="s">
        <v>39</v>
      </c>
      <c r="H22" s="51"/>
      <c r="I22" s="70" t="s">
        <v>198</v>
      </c>
      <c r="J22" s="71">
        <v>4.95</v>
      </c>
      <c r="K22" s="81">
        <f t="shared" si="21"/>
        <v>175200.30000000002</v>
      </c>
      <c r="L22" s="53">
        <f t="shared" si="9"/>
        <v>24</v>
      </c>
      <c r="M22" s="70">
        <v>7</v>
      </c>
      <c r="N22" s="70">
        <v>15</v>
      </c>
      <c r="O22" s="70">
        <v>2</v>
      </c>
      <c r="P22" s="83">
        <f t="shared" si="10"/>
        <v>76650.131250000006</v>
      </c>
      <c r="Q22" s="83">
        <f t="shared" si="11"/>
        <v>164250.28125000003</v>
      </c>
      <c r="R22" s="83">
        <f t="shared" si="12"/>
        <v>21900.037500000002</v>
      </c>
      <c r="S22" s="68"/>
      <c r="T22" s="69"/>
      <c r="U22" s="69"/>
      <c r="V22" s="69"/>
      <c r="W22" s="69"/>
      <c r="X22" s="69"/>
      <c r="Y22" s="69"/>
      <c r="Z22" s="86">
        <f t="shared" si="0"/>
        <v>0</v>
      </c>
      <c r="AA22" s="85"/>
      <c r="AB22" s="83">
        <f t="shared" si="1"/>
        <v>0</v>
      </c>
      <c r="AC22" s="83">
        <v>24</v>
      </c>
      <c r="AD22" s="83">
        <f t="shared" si="13"/>
        <v>91980.157500000001</v>
      </c>
      <c r="AE22" s="133"/>
      <c r="AF22" s="132">
        <f t="shared" si="14"/>
        <v>0</v>
      </c>
      <c r="AG22" s="88">
        <v>0</v>
      </c>
      <c r="AH22" s="88">
        <f t="shared" si="22"/>
        <v>0</v>
      </c>
      <c r="AI22" s="88"/>
      <c r="AJ22" s="88"/>
      <c r="AK22" s="88">
        <v>2</v>
      </c>
      <c r="AL22" s="88">
        <f t="shared" si="2"/>
        <v>1106.0625</v>
      </c>
      <c r="AM22" s="97"/>
      <c r="AN22" s="88">
        <f t="shared" si="3"/>
        <v>0</v>
      </c>
      <c r="AO22" s="88"/>
      <c r="AP22" s="88"/>
      <c r="AQ22" s="88"/>
      <c r="AR22" s="88"/>
      <c r="AS22" s="89">
        <f t="shared" si="15"/>
        <v>24</v>
      </c>
      <c r="AT22" s="88">
        <f t="shared" si="16"/>
        <v>78840.134999999995</v>
      </c>
      <c r="AU22" s="88"/>
      <c r="AV22" s="88">
        <v>6</v>
      </c>
      <c r="AW22" s="88">
        <f t="shared" si="17"/>
        <v>2654.55</v>
      </c>
      <c r="AX22" s="88"/>
      <c r="AY22" s="88">
        <f t="shared" si="18"/>
        <v>0</v>
      </c>
      <c r="AZ22" s="84"/>
      <c r="BA22" s="88"/>
      <c r="BB22" s="88"/>
      <c r="BC22" s="88">
        <f t="shared" si="19"/>
        <v>0</v>
      </c>
      <c r="BD22" s="88"/>
      <c r="BE22" s="88"/>
      <c r="BF22" s="88"/>
      <c r="BG22" s="88"/>
      <c r="BH22" s="71"/>
      <c r="BI22" s="103">
        <v>39320</v>
      </c>
      <c r="BJ22" s="88"/>
      <c r="BK22" s="94"/>
      <c r="BL22" s="88">
        <f t="shared" si="8"/>
        <v>26280.045000000002</v>
      </c>
      <c r="BM22" s="88">
        <f t="shared" si="20"/>
        <v>502981.4</v>
      </c>
      <c r="BO22" s="116">
        <v>24</v>
      </c>
    </row>
    <row r="23" spans="1:67" s="45" customFormat="1" ht="18" x14ac:dyDescent="0.35">
      <c r="A23" s="51"/>
      <c r="B23" s="70" t="s">
        <v>135</v>
      </c>
      <c r="C23" s="70" t="s">
        <v>369</v>
      </c>
      <c r="D23" s="70" t="s">
        <v>191</v>
      </c>
      <c r="E23" s="109">
        <v>30.7</v>
      </c>
      <c r="F23" s="72" t="s">
        <v>204</v>
      </c>
      <c r="G23" s="72" t="s">
        <v>39</v>
      </c>
      <c r="H23" s="51"/>
      <c r="I23" s="70" t="s">
        <v>198</v>
      </c>
      <c r="J23" s="73">
        <v>5.2</v>
      </c>
      <c r="K23" s="81">
        <f t="shared" si="21"/>
        <v>184048.80000000002</v>
      </c>
      <c r="L23" s="53">
        <f t="shared" si="9"/>
        <v>18</v>
      </c>
      <c r="M23" s="70">
        <v>18</v>
      </c>
      <c r="N23" s="70"/>
      <c r="O23" s="70"/>
      <c r="P23" s="83">
        <f t="shared" si="10"/>
        <v>207054.90000000002</v>
      </c>
      <c r="Q23" s="83">
        <f t="shared" si="11"/>
        <v>0</v>
      </c>
      <c r="R23" s="83">
        <f t="shared" si="12"/>
        <v>0</v>
      </c>
      <c r="S23" s="68"/>
      <c r="T23" s="69"/>
      <c r="U23" s="69"/>
      <c r="V23" s="69"/>
      <c r="W23" s="69"/>
      <c r="X23" s="69"/>
      <c r="Y23" s="69"/>
      <c r="Z23" s="86">
        <f t="shared" si="0"/>
        <v>0</v>
      </c>
      <c r="AA23" s="85"/>
      <c r="AB23" s="83">
        <f t="shared" si="1"/>
        <v>0</v>
      </c>
      <c r="AC23" s="83">
        <v>18</v>
      </c>
      <c r="AD23" s="83">
        <f t="shared" si="13"/>
        <v>72469.214999999997</v>
      </c>
      <c r="AE23" s="133"/>
      <c r="AF23" s="132">
        <f t="shared" si="14"/>
        <v>0</v>
      </c>
      <c r="AG23" s="88">
        <v>10</v>
      </c>
      <c r="AH23" s="88">
        <f t="shared" ref="AH23:AH83" si="23">17697/16*AG23*40%</f>
        <v>4424.25</v>
      </c>
      <c r="AI23" s="88"/>
      <c r="AJ23" s="88"/>
      <c r="AK23" s="88"/>
      <c r="AL23" s="88">
        <f t="shared" si="2"/>
        <v>0</v>
      </c>
      <c r="AM23" s="97"/>
      <c r="AN23" s="88">
        <f t="shared" si="3"/>
        <v>0</v>
      </c>
      <c r="AO23" s="88"/>
      <c r="AP23" s="88"/>
      <c r="AQ23" s="88"/>
      <c r="AR23" s="88"/>
      <c r="AS23" s="89">
        <v>17</v>
      </c>
      <c r="AT23" s="88">
        <f t="shared" si="16"/>
        <v>58665.555</v>
      </c>
      <c r="AU23" s="88"/>
      <c r="AV23" s="88"/>
      <c r="AW23" s="88">
        <f t="shared" si="17"/>
        <v>0</v>
      </c>
      <c r="AX23" s="88"/>
      <c r="AY23" s="88">
        <f t="shared" si="18"/>
        <v>0</v>
      </c>
      <c r="AZ23" s="84"/>
      <c r="BA23" s="88"/>
      <c r="BB23" s="88"/>
      <c r="BC23" s="88">
        <f t="shared" si="19"/>
        <v>0</v>
      </c>
      <c r="BD23" s="88" t="s">
        <v>330</v>
      </c>
      <c r="BE23" s="88">
        <v>8849</v>
      </c>
      <c r="BF23" s="88"/>
      <c r="BG23" s="88"/>
      <c r="BH23" s="71"/>
      <c r="BI23" s="91"/>
      <c r="BJ23" s="88"/>
      <c r="BK23" s="95"/>
      <c r="BL23" s="88">
        <f t="shared" si="8"/>
        <v>20705.490000000005</v>
      </c>
      <c r="BM23" s="88">
        <f t="shared" si="20"/>
        <v>372168.41</v>
      </c>
      <c r="BO23" s="116">
        <v>18</v>
      </c>
    </row>
    <row r="24" spans="1:67" s="45" customFormat="1" ht="18" x14ac:dyDescent="0.35">
      <c r="A24" s="51"/>
      <c r="B24" s="70" t="s">
        <v>136</v>
      </c>
      <c r="C24" s="70" t="s">
        <v>369</v>
      </c>
      <c r="D24" s="70" t="s">
        <v>191</v>
      </c>
      <c r="E24" s="112">
        <v>18</v>
      </c>
      <c r="F24" s="70" t="s">
        <v>206</v>
      </c>
      <c r="G24" s="70" t="s">
        <v>39</v>
      </c>
      <c r="H24" s="51"/>
      <c r="I24" s="70" t="s">
        <v>198</v>
      </c>
      <c r="J24" s="71">
        <v>5.03</v>
      </c>
      <c r="K24" s="81">
        <f t="shared" si="21"/>
        <v>178031.82</v>
      </c>
      <c r="L24" s="53">
        <f t="shared" si="9"/>
        <v>23</v>
      </c>
      <c r="M24" s="70"/>
      <c r="N24" s="70">
        <v>20</v>
      </c>
      <c r="O24" s="70">
        <v>3</v>
      </c>
      <c r="P24" s="83">
        <f t="shared" si="10"/>
        <v>0</v>
      </c>
      <c r="Q24" s="83">
        <f t="shared" si="11"/>
        <v>222539.77500000002</v>
      </c>
      <c r="R24" s="83">
        <f t="shared" si="12"/>
        <v>33380.966249999998</v>
      </c>
      <c r="S24" s="68"/>
      <c r="T24" s="69"/>
      <c r="U24" s="69"/>
      <c r="V24" s="69"/>
      <c r="W24" s="69"/>
      <c r="X24" s="69"/>
      <c r="Y24" s="69"/>
      <c r="Z24" s="86">
        <f t="shared" si="0"/>
        <v>0</v>
      </c>
      <c r="AA24" s="85"/>
      <c r="AB24" s="83">
        <f t="shared" si="1"/>
        <v>0</v>
      </c>
      <c r="AC24" s="83">
        <v>23</v>
      </c>
      <c r="AD24" s="83">
        <f t="shared" si="13"/>
        <v>89572.259437500004</v>
      </c>
      <c r="AE24" s="133"/>
      <c r="AF24" s="132">
        <f t="shared" si="14"/>
        <v>0</v>
      </c>
      <c r="AG24" s="88"/>
      <c r="AH24" s="88">
        <f t="shared" si="23"/>
        <v>0</v>
      </c>
      <c r="AI24" s="88"/>
      <c r="AJ24" s="88"/>
      <c r="AK24" s="88">
        <v>23</v>
      </c>
      <c r="AL24" s="88">
        <f>17697/16*AK24*50%</f>
        <v>12719.71875</v>
      </c>
      <c r="AM24" s="97"/>
      <c r="AN24" s="88">
        <f t="shared" si="3"/>
        <v>0</v>
      </c>
      <c r="AO24" s="88"/>
      <c r="AP24" s="88"/>
      <c r="AQ24" s="88"/>
      <c r="AR24" s="88"/>
      <c r="AS24" s="89">
        <f t="shared" si="15"/>
        <v>23</v>
      </c>
      <c r="AT24" s="88">
        <f t="shared" si="16"/>
        <v>76776.222374999998</v>
      </c>
      <c r="AU24" s="88"/>
      <c r="AV24" s="88"/>
      <c r="AW24" s="88">
        <f t="shared" si="17"/>
        <v>0</v>
      </c>
      <c r="AX24" s="88"/>
      <c r="AY24" s="88">
        <f t="shared" si="18"/>
        <v>0</v>
      </c>
      <c r="AZ24" s="84"/>
      <c r="BA24" s="88"/>
      <c r="BB24" s="88"/>
      <c r="BC24" s="88">
        <f t="shared" si="19"/>
        <v>0</v>
      </c>
      <c r="BD24" s="88" t="s">
        <v>349</v>
      </c>
      <c r="BE24" s="88"/>
      <c r="BF24" s="88">
        <v>10618</v>
      </c>
      <c r="BG24" s="88"/>
      <c r="BH24" s="71"/>
      <c r="BI24" s="91"/>
      <c r="BJ24" s="88"/>
      <c r="BK24" s="94"/>
      <c r="BL24" s="88">
        <f t="shared" si="8"/>
        <v>25592.074125000003</v>
      </c>
      <c r="BM24" s="88">
        <f t="shared" si="20"/>
        <v>471199.01593749999</v>
      </c>
      <c r="BO24" s="116">
        <v>23</v>
      </c>
    </row>
    <row r="25" spans="1:67" s="45" customFormat="1" ht="18" x14ac:dyDescent="0.35">
      <c r="A25" s="51"/>
      <c r="B25" s="70" t="s">
        <v>282</v>
      </c>
      <c r="C25" s="70" t="s">
        <v>369</v>
      </c>
      <c r="D25" s="70" t="s">
        <v>191</v>
      </c>
      <c r="E25" s="112">
        <v>18</v>
      </c>
      <c r="F25" s="70" t="s">
        <v>206</v>
      </c>
      <c r="G25" s="70" t="s">
        <v>39</v>
      </c>
      <c r="H25" s="51"/>
      <c r="I25" s="70" t="s">
        <v>198</v>
      </c>
      <c r="J25" s="71">
        <v>5.03</v>
      </c>
      <c r="K25" s="81">
        <f t="shared" si="21"/>
        <v>178031.82</v>
      </c>
      <c r="L25" s="53">
        <f t="shared" si="9"/>
        <v>4</v>
      </c>
      <c r="M25" s="70"/>
      <c r="N25" s="70"/>
      <c r="O25" s="70">
        <v>4</v>
      </c>
      <c r="P25" s="83">
        <f t="shared" si="10"/>
        <v>0</v>
      </c>
      <c r="Q25" s="83">
        <f t="shared" si="11"/>
        <v>0</v>
      </c>
      <c r="R25" s="83">
        <f t="shared" si="12"/>
        <v>44507.955000000002</v>
      </c>
      <c r="S25" s="68"/>
      <c r="T25" s="69"/>
      <c r="U25" s="69"/>
      <c r="V25" s="69"/>
      <c r="W25" s="69"/>
      <c r="X25" s="69"/>
      <c r="Y25" s="69"/>
      <c r="Z25" s="86">
        <f t="shared" si="0"/>
        <v>0</v>
      </c>
      <c r="AA25" s="85"/>
      <c r="AB25" s="83">
        <f t="shared" si="1"/>
        <v>0</v>
      </c>
      <c r="AC25" s="83">
        <v>4</v>
      </c>
      <c r="AD25" s="83">
        <f t="shared" si="13"/>
        <v>15577.784249999999</v>
      </c>
      <c r="AE25" s="133"/>
      <c r="AF25" s="132">
        <f t="shared" si="14"/>
        <v>0</v>
      </c>
      <c r="AG25" s="88"/>
      <c r="AH25" s="88">
        <f t="shared" si="23"/>
        <v>0</v>
      </c>
      <c r="AI25" s="88"/>
      <c r="AJ25" s="88"/>
      <c r="AK25" s="88">
        <v>4</v>
      </c>
      <c r="AL25" s="88">
        <f>17697/16*AK25*50%</f>
        <v>2212.125</v>
      </c>
      <c r="AM25" s="97"/>
      <c r="AN25" s="88">
        <f t="shared" si="3"/>
        <v>0</v>
      </c>
      <c r="AO25" s="88"/>
      <c r="AP25" s="88"/>
      <c r="AQ25" s="88"/>
      <c r="AR25" s="88"/>
      <c r="AS25" s="89"/>
      <c r="AT25" s="88"/>
      <c r="AU25" s="88"/>
      <c r="AV25" s="88"/>
      <c r="AW25" s="88">
        <f t="shared" si="17"/>
        <v>0</v>
      </c>
      <c r="AX25" s="88"/>
      <c r="AY25" s="88">
        <f t="shared" si="18"/>
        <v>0</v>
      </c>
      <c r="AZ25" s="84"/>
      <c r="BA25" s="88"/>
      <c r="BB25" s="88"/>
      <c r="BC25" s="88">
        <f t="shared" si="19"/>
        <v>0</v>
      </c>
      <c r="BD25" s="88"/>
      <c r="BE25" s="88"/>
      <c r="BF25" s="88"/>
      <c r="BG25" s="88"/>
      <c r="BH25" s="71"/>
      <c r="BI25" s="91"/>
      <c r="BJ25" s="88"/>
      <c r="BK25" s="94"/>
      <c r="BL25" s="88">
        <v>0</v>
      </c>
      <c r="BM25" s="88">
        <f t="shared" si="20"/>
        <v>62297.864249999999</v>
      </c>
      <c r="BO25" s="116">
        <v>4</v>
      </c>
    </row>
    <row r="26" spans="1:67" s="45" customFormat="1" ht="18" x14ac:dyDescent="0.35">
      <c r="A26" s="51"/>
      <c r="B26" s="70" t="s">
        <v>137</v>
      </c>
      <c r="C26" s="70" t="s">
        <v>369</v>
      </c>
      <c r="D26" s="70" t="s">
        <v>191</v>
      </c>
      <c r="E26" s="109">
        <v>25</v>
      </c>
      <c r="F26" s="70" t="s">
        <v>207</v>
      </c>
      <c r="G26" s="70" t="s">
        <v>39</v>
      </c>
      <c r="H26" s="51"/>
      <c r="I26" s="70" t="s">
        <v>198</v>
      </c>
      <c r="J26" s="71">
        <v>5.2</v>
      </c>
      <c r="K26" s="81">
        <f t="shared" si="21"/>
        <v>184048.80000000002</v>
      </c>
      <c r="L26" s="53">
        <f t="shared" si="9"/>
        <v>24</v>
      </c>
      <c r="M26" s="70"/>
      <c r="N26" s="70">
        <v>12</v>
      </c>
      <c r="O26" s="70">
        <v>12</v>
      </c>
      <c r="P26" s="83">
        <f t="shared" si="10"/>
        <v>0</v>
      </c>
      <c r="Q26" s="83">
        <f t="shared" si="11"/>
        <v>138036.6</v>
      </c>
      <c r="R26" s="83">
        <f t="shared" si="12"/>
        <v>138036.6</v>
      </c>
      <c r="S26" s="68"/>
      <c r="T26" s="69"/>
      <c r="U26" s="69"/>
      <c r="V26" s="69"/>
      <c r="W26" s="69"/>
      <c r="X26" s="69"/>
      <c r="Y26" s="69"/>
      <c r="Z26" s="86">
        <f t="shared" si="0"/>
        <v>0</v>
      </c>
      <c r="AA26" s="85"/>
      <c r="AB26" s="83">
        <f t="shared" si="1"/>
        <v>0</v>
      </c>
      <c r="AC26" s="83">
        <v>25</v>
      </c>
      <c r="AD26" s="83">
        <f t="shared" si="13"/>
        <v>100651.6875</v>
      </c>
      <c r="AE26" s="134"/>
      <c r="AF26" s="132">
        <f t="shared" si="14"/>
        <v>0</v>
      </c>
      <c r="AG26" s="88">
        <v>0</v>
      </c>
      <c r="AH26" s="88">
        <f t="shared" si="23"/>
        <v>0</v>
      </c>
      <c r="AI26" s="88"/>
      <c r="AJ26" s="88"/>
      <c r="AK26" s="88">
        <v>22</v>
      </c>
      <c r="AL26" s="88">
        <f t="shared" ref="AL26:AL88" si="24">17697/16*AK26*50%</f>
        <v>12166.6875</v>
      </c>
      <c r="AM26" s="97"/>
      <c r="AN26" s="88">
        <f t="shared" si="3"/>
        <v>0</v>
      </c>
      <c r="AO26" s="88"/>
      <c r="AP26" s="88"/>
      <c r="AQ26" s="88"/>
      <c r="AR26" s="88"/>
      <c r="AS26" s="89">
        <v>23</v>
      </c>
      <c r="AT26" s="88">
        <f t="shared" si="16"/>
        <v>79371.044999999998</v>
      </c>
      <c r="AU26" s="88"/>
      <c r="AV26" s="88">
        <v>0</v>
      </c>
      <c r="AW26" s="88">
        <f t="shared" si="17"/>
        <v>0</v>
      </c>
      <c r="AX26" s="88">
        <v>1</v>
      </c>
      <c r="AY26" s="88">
        <f t="shared" si="18"/>
        <v>442.42500000000001</v>
      </c>
      <c r="AZ26" s="84"/>
      <c r="BA26" s="88">
        <v>1</v>
      </c>
      <c r="BB26" s="88"/>
      <c r="BC26" s="88">
        <f t="shared" si="19"/>
        <v>11503.050000000001</v>
      </c>
      <c r="BD26" s="88" t="s">
        <v>347</v>
      </c>
      <c r="BE26" s="88"/>
      <c r="BF26" s="88"/>
      <c r="BG26" s="88">
        <v>10618</v>
      </c>
      <c r="BH26" s="71"/>
      <c r="BI26" s="91"/>
      <c r="BJ26" s="88"/>
      <c r="BK26" s="94"/>
      <c r="BL26" s="88">
        <f t="shared" si="8"/>
        <v>27607.320000000003</v>
      </c>
      <c r="BM26" s="88">
        <f t="shared" si="20"/>
        <v>518433.41499999998</v>
      </c>
      <c r="BO26" s="116">
        <v>24</v>
      </c>
    </row>
    <row r="27" spans="1:67" s="45" customFormat="1" ht="18" x14ac:dyDescent="0.35">
      <c r="A27" s="51"/>
      <c r="B27" s="70" t="s">
        <v>138</v>
      </c>
      <c r="C27" s="70" t="s">
        <v>370</v>
      </c>
      <c r="D27" s="70" t="s">
        <v>191</v>
      </c>
      <c r="E27" s="111">
        <v>16.3</v>
      </c>
      <c r="F27" s="70" t="s">
        <v>204</v>
      </c>
      <c r="G27" s="70" t="s">
        <v>39</v>
      </c>
      <c r="H27" s="51"/>
      <c r="I27" s="70" t="s">
        <v>198</v>
      </c>
      <c r="J27" s="73">
        <v>5.03</v>
      </c>
      <c r="K27" s="81">
        <f t="shared" si="21"/>
        <v>178031.82</v>
      </c>
      <c r="L27" s="53">
        <f t="shared" si="9"/>
        <v>11</v>
      </c>
      <c r="M27" s="70">
        <v>11</v>
      </c>
      <c r="N27" s="70"/>
      <c r="O27" s="70"/>
      <c r="P27" s="83">
        <f t="shared" si="10"/>
        <v>122396.87625</v>
      </c>
      <c r="Q27" s="83">
        <f t="shared" si="11"/>
        <v>0</v>
      </c>
      <c r="R27" s="83">
        <f t="shared" si="12"/>
        <v>0</v>
      </c>
      <c r="S27" s="68"/>
      <c r="T27" s="69"/>
      <c r="U27" s="69"/>
      <c r="V27" s="69"/>
      <c r="W27" s="69"/>
      <c r="X27" s="69"/>
      <c r="Y27" s="69"/>
      <c r="Z27" s="86">
        <f t="shared" si="0"/>
        <v>0</v>
      </c>
      <c r="AA27" s="85"/>
      <c r="AB27" s="83">
        <f t="shared" si="1"/>
        <v>0</v>
      </c>
      <c r="AC27" s="83">
        <v>11</v>
      </c>
      <c r="AD27" s="83">
        <f t="shared" si="13"/>
        <v>42838.906687499999</v>
      </c>
      <c r="AE27" s="133"/>
      <c r="AF27" s="132">
        <f t="shared" si="14"/>
        <v>0</v>
      </c>
      <c r="AG27" s="88"/>
      <c r="AH27" s="88">
        <f t="shared" si="23"/>
        <v>0</v>
      </c>
      <c r="AI27" s="88"/>
      <c r="AJ27" s="88"/>
      <c r="AK27" s="88"/>
      <c r="AL27" s="88">
        <f t="shared" si="24"/>
        <v>0</v>
      </c>
      <c r="AM27" s="97"/>
      <c r="AN27" s="88">
        <f t="shared" si="3"/>
        <v>0</v>
      </c>
      <c r="AO27" s="88"/>
      <c r="AP27" s="88"/>
      <c r="AQ27" s="88"/>
      <c r="AR27" s="88"/>
      <c r="AS27" s="89">
        <v>3</v>
      </c>
      <c r="AT27" s="88">
        <f t="shared" si="16"/>
        <v>10014.289874999999</v>
      </c>
      <c r="AU27" s="88"/>
      <c r="AV27" s="88">
        <v>6</v>
      </c>
      <c r="AW27" s="88">
        <f t="shared" si="17"/>
        <v>2654.55</v>
      </c>
      <c r="AX27" s="88"/>
      <c r="AY27" s="88">
        <f t="shared" si="18"/>
        <v>0</v>
      </c>
      <c r="AZ27" s="84"/>
      <c r="BA27" s="88"/>
      <c r="BB27" s="88"/>
      <c r="BC27" s="88">
        <f t="shared" si="19"/>
        <v>0</v>
      </c>
      <c r="BD27" s="88" t="s">
        <v>348</v>
      </c>
      <c r="BE27" s="88"/>
      <c r="BF27" s="88">
        <v>10618</v>
      </c>
      <c r="BG27" s="88"/>
      <c r="BH27" s="71"/>
      <c r="BI27" s="91"/>
      <c r="BJ27" s="88"/>
      <c r="BK27" s="94"/>
      <c r="BL27" s="88">
        <f t="shared" si="8"/>
        <v>12239.687625</v>
      </c>
      <c r="BM27" s="88">
        <f t="shared" si="20"/>
        <v>200762.31043749995</v>
      </c>
      <c r="BO27" s="116">
        <v>11</v>
      </c>
    </row>
    <row r="28" spans="1:67" s="45" customFormat="1" ht="18" x14ac:dyDescent="0.35">
      <c r="A28" s="51"/>
      <c r="B28" s="70" t="s">
        <v>139</v>
      </c>
      <c r="C28" s="70" t="s">
        <v>369</v>
      </c>
      <c r="D28" s="70" t="s">
        <v>191</v>
      </c>
      <c r="E28" s="111">
        <v>22</v>
      </c>
      <c r="F28" s="70" t="s">
        <v>208</v>
      </c>
      <c r="G28" s="70" t="s">
        <v>39</v>
      </c>
      <c r="H28" s="51"/>
      <c r="I28" s="70" t="s">
        <v>198</v>
      </c>
      <c r="J28" s="71">
        <v>5.12</v>
      </c>
      <c r="K28" s="81">
        <f t="shared" si="21"/>
        <v>181217.28</v>
      </c>
      <c r="L28" s="53">
        <f t="shared" si="9"/>
        <v>24</v>
      </c>
      <c r="M28" s="70"/>
      <c r="N28" s="70">
        <v>24</v>
      </c>
      <c r="O28" s="70"/>
      <c r="P28" s="83">
        <f t="shared" si="10"/>
        <v>0</v>
      </c>
      <c r="Q28" s="83">
        <f t="shared" si="11"/>
        <v>271825.91999999998</v>
      </c>
      <c r="R28" s="83">
        <f t="shared" si="12"/>
        <v>0</v>
      </c>
      <c r="S28" s="68"/>
      <c r="T28" s="69"/>
      <c r="U28" s="69"/>
      <c r="V28" s="69"/>
      <c r="W28" s="69"/>
      <c r="X28" s="69"/>
      <c r="Y28" s="69"/>
      <c r="Z28" s="86">
        <f t="shared" si="0"/>
        <v>0</v>
      </c>
      <c r="AA28" s="85"/>
      <c r="AB28" s="83">
        <f t="shared" si="1"/>
        <v>0</v>
      </c>
      <c r="AC28" s="83">
        <v>24</v>
      </c>
      <c r="AD28" s="83">
        <f t="shared" si="13"/>
        <v>95139.071999999986</v>
      </c>
      <c r="AE28" s="133"/>
      <c r="AF28" s="132">
        <f t="shared" si="14"/>
        <v>0</v>
      </c>
      <c r="AG28" s="88"/>
      <c r="AH28" s="88">
        <f t="shared" si="23"/>
        <v>0</v>
      </c>
      <c r="AI28" s="88"/>
      <c r="AJ28" s="88"/>
      <c r="AK28" s="88">
        <v>9</v>
      </c>
      <c r="AL28" s="88">
        <f t="shared" si="24"/>
        <v>4977.28125</v>
      </c>
      <c r="AM28" s="97">
        <v>7.5</v>
      </c>
      <c r="AN28" s="88">
        <f>17697/16*AM28*20%</f>
        <v>1659.09375</v>
      </c>
      <c r="AO28" s="88"/>
      <c r="AP28" s="88"/>
      <c r="AQ28" s="88"/>
      <c r="AR28" s="88"/>
      <c r="AS28" s="89">
        <f t="shared" si="15"/>
        <v>24</v>
      </c>
      <c r="AT28" s="88">
        <f t="shared" si="16"/>
        <v>81547.775999999998</v>
      </c>
      <c r="AU28" s="88"/>
      <c r="AV28" s="88"/>
      <c r="AW28" s="88">
        <f t="shared" si="17"/>
        <v>0</v>
      </c>
      <c r="AX28" s="88"/>
      <c r="AY28" s="88">
        <f t="shared" si="18"/>
        <v>0</v>
      </c>
      <c r="AZ28" s="84"/>
      <c r="BA28" s="88"/>
      <c r="BB28" s="88"/>
      <c r="BC28" s="88">
        <f t="shared" si="19"/>
        <v>0</v>
      </c>
      <c r="BD28" s="88" t="s">
        <v>333</v>
      </c>
      <c r="BE28" s="88"/>
      <c r="BF28" s="88">
        <v>10618</v>
      </c>
      <c r="BG28" s="88"/>
      <c r="BH28" s="71"/>
      <c r="BI28" s="91"/>
      <c r="BJ28" s="88"/>
      <c r="BK28" s="94"/>
      <c r="BL28" s="88">
        <f t="shared" si="8"/>
        <v>27182.592000000001</v>
      </c>
      <c r="BM28" s="88">
        <f t="shared" si="20"/>
        <v>492949.73499999999</v>
      </c>
      <c r="BO28" s="116">
        <v>24</v>
      </c>
    </row>
    <row r="29" spans="1:67" s="45" customFormat="1" ht="18" x14ac:dyDescent="0.35">
      <c r="A29" s="51"/>
      <c r="B29" s="70" t="s">
        <v>140</v>
      </c>
      <c r="C29" s="70" t="s">
        <v>369</v>
      </c>
      <c r="D29" s="70" t="s">
        <v>191</v>
      </c>
      <c r="E29" s="109">
        <v>5.2</v>
      </c>
      <c r="F29" s="70" t="s">
        <v>209</v>
      </c>
      <c r="G29" s="70" t="s">
        <v>1</v>
      </c>
      <c r="H29" s="51"/>
      <c r="I29" s="70" t="s">
        <v>196</v>
      </c>
      <c r="J29" s="71">
        <v>4.66</v>
      </c>
      <c r="K29" s="81">
        <f t="shared" si="21"/>
        <v>164936.04</v>
      </c>
      <c r="L29" s="53">
        <f t="shared" si="9"/>
        <v>24</v>
      </c>
      <c r="M29" s="70"/>
      <c r="N29" s="70">
        <v>24</v>
      </c>
      <c r="O29" s="70"/>
      <c r="P29" s="83">
        <f t="shared" si="10"/>
        <v>0</v>
      </c>
      <c r="Q29" s="83">
        <f t="shared" si="11"/>
        <v>247404.06</v>
      </c>
      <c r="R29" s="83">
        <f t="shared" si="12"/>
        <v>0</v>
      </c>
      <c r="S29" s="68"/>
      <c r="T29" s="69"/>
      <c r="U29" s="69"/>
      <c r="V29" s="69"/>
      <c r="W29" s="69"/>
      <c r="X29" s="69"/>
      <c r="Y29" s="69"/>
      <c r="Z29" s="86">
        <f t="shared" si="0"/>
        <v>0</v>
      </c>
      <c r="AA29" s="85"/>
      <c r="AB29" s="83">
        <f t="shared" si="1"/>
        <v>0</v>
      </c>
      <c r="AC29" s="83"/>
      <c r="AD29" s="83">
        <f t="shared" si="13"/>
        <v>0</v>
      </c>
      <c r="AE29" s="133">
        <v>24</v>
      </c>
      <c r="AF29" s="132">
        <f t="shared" si="14"/>
        <v>74221.217999999993</v>
      </c>
      <c r="AG29" s="88"/>
      <c r="AH29" s="88">
        <f t="shared" si="23"/>
        <v>0</v>
      </c>
      <c r="AI29" s="88"/>
      <c r="AJ29" s="88"/>
      <c r="AK29" s="88">
        <v>24</v>
      </c>
      <c r="AL29" s="88">
        <f t="shared" si="24"/>
        <v>13272.75</v>
      </c>
      <c r="AM29" s="97"/>
      <c r="AN29" s="88">
        <f t="shared" ref="AN29:AN91" si="25">17697/16*AM29*20%</f>
        <v>0</v>
      </c>
      <c r="AO29" s="88"/>
      <c r="AP29" s="88"/>
      <c r="AQ29" s="88"/>
      <c r="AR29" s="88"/>
      <c r="AS29" s="89">
        <f t="shared" si="15"/>
        <v>24</v>
      </c>
      <c r="AT29" s="88">
        <f t="shared" si="16"/>
        <v>74221.217999999993</v>
      </c>
      <c r="AU29" s="88"/>
      <c r="AV29" s="88">
        <v>4</v>
      </c>
      <c r="AW29" s="88">
        <f t="shared" si="17"/>
        <v>1769.7</v>
      </c>
      <c r="AX29" s="88"/>
      <c r="AY29" s="88">
        <f t="shared" si="18"/>
        <v>0</v>
      </c>
      <c r="AZ29" s="84"/>
      <c r="BA29" s="88"/>
      <c r="BB29" s="88"/>
      <c r="BC29" s="88">
        <f t="shared" si="19"/>
        <v>0</v>
      </c>
      <c r="BD29" s="88"/>
      <c r="BE29" s="88"/>
      <c r="BF29" s="88"/>
      <c r="BG29" s="88"/>
      <c r="BH29" s="71"/>
      <c r="BI29" s="91"/>
      <c r="BJ29" s="88"/>
      <c r="BK29" s="94"/>
      <c r="BL29" s="88">
        <f t="shared" si="8"/>
        <v>24740.406000000003</v>
      </c>
      <c r="BM29" s="88">
        <f t="shared" si="20"/>
        <v>435629.35200000001</v>
      </c>
      <c r="BO29" s="116">
        <v>24</v>
      </c>
    </row>
    <row r="30" spans="1:67" s="45" customFormat="1" ht="18" x14ac:dyDescent="0.35">
      <c r="A30" s="51"/>
      <c r="B30" s="70" t="s">
        <v>282</v>
      </c>
      <c r="C30" s="70" t="s">
        <v>369</v>
      </c>
      <c r="D30" s="70" t="s">
        <v>191</v>
      </c>
      <c r="E30" s="109">
        <v>5.2</v>
      </c>
      <c r="F30" s="70" t="s">
        <v>209</v>
      </c>
      <c r="G30" s="70" t="s">
        <v>1</v>
      </c>
      <c r="H30" s="51"/>
      <c r="I30" s="70" t="s">
        <v>196</v>
      </c>
      <c r="J30" s="71">
        <v>4.66</v>
      </c>
      <c r="K30" s="81">
        <f t="shared" si="21"/>
        <v>164936.04</v>
      </c>
      <c r="L30" s="53">
        <f t="shared" si="9"/>
        <v>2</v>
      </c>
      <c r="M30" s="70"/>
      <c r="N30" s="70">
        <v>2</v>
      </c>
      <c r="O30" s="70"/>
      <c r="P30" s="83">
        <f t="shared" si="10"/>
        <v>0</v>
      </c>
      <c r="Q30" s="83">
        <f t="shared" si="11"/>
        <v>20617.005000000001</v>
      </c>
      <c r="R30" s="83">
        <f t="shared" si="12"/>
        <v>0</v>
      </c>
      <c r="S30" s="68"/>
      <c r="T30" s="69"/>
      <c r="U30" s="69"/>
      <c r="V30" s="69"/>
      <c r="W30" s="69"/>
      <c r="X30" s="69"/>
      <c r="Y30" s="69"/>
      <c r="Z30" s="86">
        <f t="shared" si="0"/>
        <v>0</v>
      </c>
      <c r="AA30" s="85"/>
      <c r="AB30" s="83">
        <f t="shared" si="1"/>
        <v>0</v>
      </c>
      <c r="AC30" s="83"/>
      <c r="AD30" s="83">
        <f t="shared" si="13"/>
        <v>0</v>
      </c>
      <c r="AE30" s="133">
        <v>2</v>
      </c>
      <c r="AF30" s="132">
        <f t="shared" si="14"/>
        <v>6185.1014999999998</v>
      </c>
      <c r="AG30" s="88"/>
      <c r="AH30" s="88">
        <f t="shared" si="23"/>
        <v>0</v>
      </c>
      <c r="AI30" s="88"/>
      <c r="AJ30" s="88"/>
      <c r="AK30" s="88">
        <v>2</v>
      </c>
      <c r="AL30" s="88">
        <f t="shared" si="24"/>
        <v>1106.0625</v>
      </c>
      <c r="AM30" s="97"/>
      <c r="AN30" s="88">
        <f>17697/16*AM30*20%</f>
        <v>0</v>
      </c>
      <c r="AO30" s="88"/>
      <c r="AP30" s="88"/>
      <c r="AQ30" s="88"/>
      <c r="AR30" s="88"/>
      <c r="AS30" s="89"/>
      <c r="AT30" s="88"/>
      <c r="AU30" s="88"/>
      <c r="AV30" s="88">
        <v>0</v>
      </c>
      <c r="AW30" s="88">
        <f t="shared" si="17"/>
        <v>0</v>
      </c>
      <c r="AX30" s="88"/>
      <c r="AY30" s="88">
        <f t="shared" si="18"/>
        <v>0</v>
      </c>
      <c r="AZ30" s="84"/>
      <c r="BA30" s="88"/>
      <c r="BB30" s="88"/>
      <c r="BC30" s="88">
        <f t="shared" si="19"/>
        <v>0</v>
      </c>
      <c r="BD30" s="88"/>
      <c r="BE30" s="88"/>
      <c r="BF30" s="88"/>
      <c r="BG30" s="88"/>
      <c r="BH30" s="71"/>
      <c r="BI30" s="91"/>
      <c r="BJ30" s="88"/>
      <c r="BK30" s="94"/>
      <c r="BL30" s="88">
        <v>0</v>
      </c>
      <c r="BM30" s="88">
        <f t="shared" si="20"/>
        <v>27908.169000000002</v>
      </c>
      <c r="BO30" s="116">
        <v>2</v>
      </c>
    </row>
    <row r="31" spans="1:67" s="45" customFormat="1" ht="18" x14ac:dyDescent="0.35">
      <c r="A31" s="51"/>
      <c r="B31" s="70" t="s">
        <v>141</v>
      </c>
      <c r="C31" s="70" t="s">
        <v>371</v>
      </c>
      <c r="D31" s="70" t="s">
        <v>191</v>
      </c>
      <c r="E31" s="111">
        <v>6.4</v>
      </c>
      <c r="F31" s="70" t="s">
        <v>285</v>
      </c>
      <c r="G31" s="70" t="s">
        <v>194</v>
      </c>
      <c r="H31" s="51"/>
      <c r="I31" s="70" t="s">
        <v>197</v>
      </c>
      <c r="J31" s="71">
        <v>4.2699999999999996</v>
      </c>
      <c r="K31" s="81">
        <f t="shared" si="21"/>
        <v>151132.37999999998</v>
      </c>
      <c r="L31" s="53">
        <f t="shared" si="9"/>
        <v>11</v>
      </c>
      <c r="M31" s="70"/>
      <c r="N31" s="70">
        <v>9</v>
      </c>
      <c r="O31" s="70">
        <v>2</v>
      </c>
      <c r="P31" s="83">
        <f t="shared" si="10"/>
        <v>0</v>
      </c>
      <c r="Q31" s="83">
        <f t="shared" si="11"/>
        <v>85011.963749999981</v>
      </c>
      <c r="R31" s="83">
        <f t="shared" si="12"/>
        <v>18891.547499999997</v>
      </c>
      <c r="S31" s="68"/>
      <c r="T31" s="69"/>
      <c r="U31" s="69"/>
      <c r="V31" s="69"/>
      <c r="W31" s="69"/>
      <c r="X31" s="69"/>
      <c r="Y31" s="69"/>
      <c r="Z31" s="86">
        <f t="shared" si="0"/>
        <v>0</v>
      </c>
      <c r="AA31" s="85"/>
      <c r="AB31" s="83">
        <f t="shared" si="1"/>
        <v>0</v>
      </c>
      <c r="AC31" s="83"/>
      <c r="AD31" s="83">
        <f t="shared" si="13"/>
        <v>0</v>
      </c>
      <c r="AE31" s="133"/>
      <c r="AF31" s="132">
        <f t="shared" si="14"/>
        <v>0</v>
      </c>
      <c r="AG31" s="88"/>
      <c r="AH31" s="88">
        <f t="shared" si="23"/>
        <v>0</v>
      </c>
      <c r="AI31" s="88"/>
      <c r="AJ31" s="88"/>
      <c r="AK31" s="88"/>
      <c r="AL31" s="88">
        <f t="shared" si="24"/>
        <v>0</v>
      </c>
      <c r="AM31" s="97"/>
      <c r="AN31" s="88">
        <f t="shared" si="25"/>
        <v>0</v>
      </c>
      <c r="AO31" s="88"/>
      <c r="AP31" s="88"/>
      <c r="AQ31" s="88"/>
      <c r="AR31" s="88"/>
      <c r="AS31" s="89">
        <f t="shared" si="15"/>
        <v>11</v>
      </c>
      <c r="AT31" s="88">
        <f t="shared" si="16"/>
        <v>31171.053374999992</v>
      </c>
      <c r="AU31" s="88"/>
      <c r="AV31" s="88"/>
      <c r="AW31" s="88">
        <f t="shared" si="17"/>
        <v>0</v>
      </c>
      <c r="AX31" s="88"/>
      <c r="AY31" s="88">
        <f t="shared" si="18"/>
        <v>0</v>
      </c>
      <c r="AZ31" s="84"/>
      <c r="BA31" s="88"/>
      <c r="BB31" s="88"/>
      <c r="BC31" s="88">
        <f t="shared" si="19"/>
        <v>0</v>
      </c>
      <c r="BD31" s="88"/>
      <c r="BE31" s="88"/>
      <c r="BF31" s="88"/>
      <c r="BG31" s="88"/>
      <c r="BH31" s="71"/>
      <c r="BI31" s="91"/>
      <c r="BJ31" s="88"/>
      <c r="BK31" s="94"/>
      <c r="BL31" s="88">
        <f t="shared" si="8"/>
        <v>10390.351124999999</v>
      </c>
      <c r="BM31" s="88">
        <f t="shared" si="20"/>
        <v>145464.91574999996</v>
      </c>
      <c r="BO31" s="116">
        <v>9</v>
      </c>
    </row>
    <row r="32" spans="1:67" s="45" customFormat="1" ht="18" x14ac:dyDescent="0.35">
      <c r="A32" s="51"/>
      <c r="B32" s="70" t="s">
        <v>142</v>
      </c>
      <c r="C32" s="70" t="s">
        <v>369</v>
      </c>
      <c r="D32" s="70" t="s">
        <v>191</v>
      </c>
      <c r="E32" s="109">
        <v>3.11</v>
      </c>
      <c r="F32" s="70" t="s">
        <v>208</v>
      </c>
      <c r="G32" s="70" t="s">
        <v>194</v>
      </c>
      <c r="H32" s="51"/>
      <c r="I32" s="70" t="s">
        <v>197</v>
      </c>
      <c r="J32" s="71">
        <v>4.2300000000000004</v>
      </c>
      <c r="K32" s="81">
        <f t="shared" si="21"/>
        <v>149716.62000000002</v>
      </c>
      <c r="L32" s="53">
        <f t="shared" si="9"/>
        <v>4</v>
      </c>
      <c r="M32" s="70">
        <v>4</v>
      </c>
      <c r="N32" s="70"/>
      <c r="O32" s="70"/>
      <c r="P32" s="83">
        <f t="shared" si="10"/>
        <v>37429.155000000006</v>
      </c>
      <c r="Q32" s="83">
        <f t="shared" si="11"/>
        <v>0</v>
      </c>
      <c r="R32" s="83">
        <f t="shared" si="12"/>
        <v>0</v>
      </c>
      <c r="S32" s="68"/>
      <c r="T32" s="69"/>
      <c r="U32" s="69"/>
      <c r="V32" s="69"/>
      <c r="W32" s="69"/>
      <c r="X32" s="69"/>
      <c r="Y32" s="69"/>
      <c r="Z32" s="86">
        <f t="shared" si="0"/>
        <v>0</v>
      </c>
      <c r="AA32" s="85"/>
      <c r="AB32" s="83">
        <f t="shared" si="1"/>
        <v>0</v>
      </c>
      <c r="AC32" s="83"/>
      <c r="AD32" s="83">
        <f t="shared" si="13"/>
        <v>0</v>
      </c>
      <c r="AE32" s="133"/>
      <c r="AF32" s="132">
        <f t="shared" si="14"/>
        <v>0</v>
      </c>
      <c r="AG32" s="88"/>
      <c r="AH32" s="88">
        <f t="shared" si="23"/>
        <v>0</v>
      </c>
      <c r="AI32" s="88"/>
      <c r="AJ32" s="88"/>
      <c r="AK32" s="88">
        <v>2</v>
      </c>
      <c r="AL32" s="88">
        <f t="shared" si="24"/>
        <v>1106.0625</v>
      </c>
      <c r="AM32" s="97">
        <v>1</v>
      </c>
      <c r="AN32" s="88">
        <f t="shared" si="25"/>
        <v>221.21250000000001</v>
      </c>
      <c r="AO32" s="88"/>
      <c r="AP32" s="88"/>
      <c r="AQ32" s="88"/>
      <c r="AR32" s="88"/>
      <c r="AS32" s="89">
        <v>4</v>
      </c>
      <c r="AT32" s="88">
        <f t="shared" si="16"/>
        <v>11228.746500000001</v>
      </c>
      <c r="AU32" s="88"/>
      <c r="AV32" s="88"/>
      <c r="AW32" s="88">
        <f t="shared" si="17"/>
        <v>0</v>
      </c>
      <c r="AX32" s="88">
        <v>2</v>
      </c>
      <c r="AY32" s="88">
        <f t="shared" si="18"/>
        <v>884.85</v>
      </c>
      <c r="AZ32" s="84"/>
      <c r="BA32" s="88">
        <v>2</v>
      </c>
      <c r="BB32" s="88"/>
      <c r="BC32" s="88">
        <f t="shared" si="19"/>
        <v>18714.577500000003</v>
      </c>
      <c r="BD32" s="88"/>
      <c r="BE32" s="88"/>
      <c r="BF32" s="88"/>
      <c r="BG32" s="88"/>
      <c r="BH32" s="71"/>
      <c r="BI32" s="91"/>
      <c r="BJ32" s="88"/>
      <c r="BK32" s="94"/>
      <c r="BL32" s="88">
        <f t="shared" si="8"/>
        <v>3742.915500000001</v>
      </c>
      <c r="BM32" s="88">
        <f t="shared" si="20"/>
        <v>73327.519500000009</v>
      </c>
      <c r="BO32" s="116">
        <v>4</v>
      </c>
    </row>
    <row r="33" spans="1:67" s="45" customFormat="1" ht="18" x14ac:dyDescent="0.35">
      <c r="A33" s="51"/>
      <c r="B33" s="70" t="s">
        <v>143</v>
      </c>
      <c r="C33" s="70" t="s">
        <v>369</v>
      </c>
      <c r="D33" s="70" t="s">
        <v>193</v>
      </c>
      <c r="E33" s="109">
        <v>12</v>
      </c>
      <c r="F33" s="74" t="s">
        <v>204</v>
      </c>
      <c r="G33" s="74" t="s">
        <v>1</v>
      </c>
      <c r="H33" s="51"/>
      <c r="I33" s="74" t="s">
        <v>199</v>
      </c>
      <c r="J33" s="71">
        <v>4.03</v>
      </c>
      <c r="K33" s="81">
        <f t="shared" si="21"/>
        <v>142637.82</v>
      </c>
      <c r="L33" s="53">
        <f t="shared" si="9"/>
        <v>18</v>
      </c>
      <c r="M33" s="70">
        <v>18</v>
      </c>
      <c r="N33" s="70"/>
      <c r="O33" s="70"/>
      <c r="P33" s="83">
        <f t="shared" si="10"/>
        <v>160467.54750000002</v>
      </c>
      <c r="Q33" s="83">
        <f t="shared" si="11"/>
        <v>0</v>
      </c>
      <c r="R33" s="83">
        <f t="shared" si="12"/>
        <v>0</v>
      </c>
      <c r="S33" s="68"/>
      <c r="T33" s="69"/>
      <c r="U33" s="69"/>
      <c r="V33" s="69"/>
      <c r="W33" s="69"/>
      <c r="X33" s="69"/>
      <c r="Y33" s="69"/>
      <c r="Z33" s="86">
        <f t="shared" si="0"/>
        <v>0</v>
      </c>
      <c r="AA33" s="85"/>
      <c r="AB33" s="83">
        <f t="shared" si="1"/>
        <v>0</v>
      </c>
      <c r="AC33" s="83"/>
      <c r="AD33" s="83">
        <f t="shared" si="13"/>
        <v>0</v>
      </c>
      <c r="AE33" s="133">
        <v>18</v>
      </c>
      <c r="AF33" s="132">
        <f t="shared" si="14"/>
        <v>48140.26425</v>
      </c>
      <c r="AG33" s="88">
        <v>10</v>
      </c>
      <c r="AH33" s="88">
        <f t="shared" si="23"/>
        <v>4424.25</v>
      </c>
      <c r="AI33" s="88"/>
      <c r="AJ33" s="88"/>
      <c r="AK33" s="88"/>
      <c r="AL33" s="88">
        <f t="shared" si="24"/>
        <v>0</v>
      </c>
      <c r="AM33" s="97"/>
      <c r="AN33" s="88">
        <f t="shared" si="25"/>
        <v>0</v>
      </c>
      <c r="AO33" s="88"/>
      <c r="AP33" s="88"/>
      <c r="AQ33" s="88"/>
      <c r="AR33" s="88"/>
      <c r="AS33" s="89">
        <v>17</v>
      </c>
      <c r="AT33" s="88">
        <f t="shared" si="16"/>
        <v>45465.805124999999</v>
      </c>
      <c r="AU33" s="88"/>
      <c r="AV33" s="88">
        <v>18</v>
      </c>
      <c r="AW33" s="88">
        <f t="shared" si="17"/>
        <v>7963.6500000000005</v>
      </c>
      <c r="AX33" s="88"/>
      <c r="AY33" s="88">
        <f t="shared" si="18"/>
        <v>0</v>
      </c>
      <c r="AZ33" s="84"/>
      <c r="BA33" s="88"/>
      <c r="BB33" s="88"/>
      <c r="BC33" s="88">
        <f t="shared" si="19"/>
        <v>0</v>
      </c>
      <c r="BD33" s="88" t="s">
        <v>331</v>
      </c>
      <c r="BE33" s="88">
        <v>8849</v>
      </c>
      <c r="BF33" s="88"/>
      <c r="BG33" s="88"/>
      <c r="BH33" s="71"/>
      <c r="BI33" s="91"/>
      <c r="BJ33" s="88"/>
      <c r="BK33" s="94"/>
      <c r="BL33" s="88">
        <f t="shared" si="8"/>
        <v>16046.754750000002</v>
      </c>
      <c r="BM33" s="88">
        <f t="shared" si="20"/>
        <v>291357.27162500005</v>
      </c>
      <c r="BO33" s="116">
        <v>18</v>
      </c>
    </row>
    <row r="34" spans="1:67" s="45" customFormat="1" ht="18" x14ac:dyDescent="0.35">
      <c r="A34" s="51"/>
      <c r="B34" s="70" t="s">
        <v>144</v>
      </c>
      <c r="C34" s="70" t="s">
        <v>369</v>
      </c>
      <c r="D34" s="74" t="s">
        <v>191</v>
      </c>
      <c r="E34" s="111">
        <v>10.9</v>
      </c>
      <c r="F34" s="74" t="s">
        <v>210</v>
      </c>
      <c r="G34" s="74" t="s">
        <v>39</v>
      </c>
      <c r="H34" s="51"/>
      <c r="I34" s="74" t="s">
        <v>198</v>
      </c>
      <c r="J34" s="73">
        <v>4.8600000000000003</v>
      </c>
      <c r="K34" s="81">
        <f t="shared" si="21"/>
        <v>172014.84000000003</v>
      </c>
      <c r="L34" s="53">
        <f t="shared" si="9"/>
        <v>8</v>
      </c>
      <c r="M34" s="74"/>
      <c r="N34" s="74">
        <v>8</v>
      </c>
      <c r="O34" s="74"/>
      <c r="P34" s="83">
        <f t="shared" si="10"/>
        <v>0</v>
      </c>
      <c r="Q34" s="83">
        <f t="shared" si="11"/>
        <v>86007.420000000013</v>
      </c>
      <c r="R34" s="83">
        <f t="shared" si="12"/>
        <v>0</v>
      </c>
      <c r="S34" s="68"/>
      <c r="T34" s="69"/>
      <c r="U34" s="69"/>
      <c r="V34" s="69"/>
      <c r="W34" s="69"/>
      <c r="X34" s="69"/>
      <c r="Y34" s="69"/>
      <c r="Z34" s="86">
        <f t="shared" si="0"/>
        <v>0</v>
      </c>
      <c r="AA34" s="85"/>
      <c r="AB34" s="83">
        <f t="shared" si="1"/>
        <v>0</v>
      </c>
      <c r="AC34" s="83">
        <v>8</v>
      </c>
      <c r="AD34" s="83">
        <f t="shared" si="13"/>
        <v>30102.597000000002</v>
      </c>
      <c r="AE34" s="133"/>
      <c r="AF34" s="132">
        <f t="shared" si="14"/>
        <v>0</v>
      </c>
      <c r="AG34" s="88"/>
      <c r="AH34" s="88">
        <f t="shared" si="23"/>
        <v>0</v>
      </c>
      <c r="AI34" s="88"/>
      <c r="AJ34" s="88"/>
      <c r="AK34" s="88"/>
      <c r="AL34" s="88">
        <f t="shared" si="24"/>
        <v>0</v>
      </c>
      <c r="AM34" s="98"/>
      <c r="AN34" s="88">
        <f t="shared" si="25"/>
        <v>0</v>
      </c>
      <c r="AO34" s="88"/>
      <c r="AP34" s="88"/>
      <c r="AQ34" s="88"/>
      <c r="AR34" s="88"/>
      <c r="AS34" s="89">
        <f t="shared" si="15"/>
        <v>8</v>
      </c>
      <c r="AT34" s="88">
        <f t="shared" si="16"/>
        <v>25802.226000000002</v>
      </c>
      <c r="AU34" s="88"/>
      <c r="AV34" s="88">
        <v>1</v>
      </c>
      <c r="AW34" s="88">
        <f t="shared" si="17"/>
        <v>442.42500000000001</v>
      </c>
      <c r="AX34" s="88"/>
      <c r="AY34" s="88">
        <f t="shared" si="18"/>
        <v>0</v>
      </c>
      <c r="AZ34" s="84"/>
      <c r="BA34" s="88"/>
      <c r="BB34" s="88"/>
      <c r="BC34" s="88">
        <f t="shared" si="19"/>
        <v>0</v>
      </c>
      <c r="BD34" s="88"/>
      <c r="BE34" s="88"/>
      <c r="BF34" s="88"/>
      <c r="BG34" s="88"/>
      <c r="BH34" s="71"/>
      <c r="BI34" s="91"/>
      <c r="BJ34" s="88"/>
      <c r="BK34" s="96"/>
      <c r="BL34" s="88">
        <f t="shared" si="8"/>
        <v>8600.742000000002</v>
      </c>
      <c r="BM34" s="88">
        <f t="shared" si="20"/>
        <v>150955.41</v>
      </c>
      <c r="BO34" s="116">
        <v>8</v>
      </c>
    </row>
    <row r="35" spans="1:67" s="45" customFormat="1" ht="26.25" customHeight="1" x14ac:dyDescent="0.35">
      <c r="A35" s="51"/>
      <c r="B35" s="70" t="s">
        <v>145</v>
      </c>
      <c r="C35" s="70" t="s">
        <v>370</v>
      </c>
      <c r="D35" s="70" t="s">
        <v>191</v>
      </c>
      <c r="E35" s="109">
        <v>24</v>
      </c>
      <c r="F35" s="70" t="s">
        <v>206</v>
      </c>
      <c r="G35" s="70" t="s">
        <v>37</v>
      </c>
      <c r="H35" s="51"/>
      <c r="I35" s="70" t="s">
        <v>200</v>
      </c>
      <c r="J35" s="71">
        <v>5.32</v>
      </c>
      <c r="K35" s="81">
        <f t="shared" si="21"/>
        <v>188296.08000000002</v>
      </c>
      <c r="L35" s="53">
        <f t="shared" si="9"/>
        <v>12</v>
      </c>
      <c r="M35" s="70"/>
      <c r="N35" s="70">
        <v>10</v>
      </c>
      <c r="O35" s="70">
        <v>2</v>
      </c>
      <c r="P35" s="83">
        <f t="shared" si="10"/>
        <v>0</v>
      </c>
      <c r="Q35" s="83">
        <f t="shared" si="11"/>
        <v>117685.05000000002</v>
      </c>
      <c r="R35" s="83">
        <f t="shared" si="12"/>
        <v>23537.010000000002</v>
      </c>
      <c r="S35" s="68"/>
      <c r="T35" s="69"/>
      <c r="U35" s="69"/>
      <c r="V35" s="69"/>
      <c r="W35" s="69"/>
      <c r="X35" s="69"/>
      <c r="Y35" s="69"/>
      <c r="Z35" s="86">
        <f t="shared" si="0"/>
        <v>0</v>
      </c>
      <c r="AA35" s="85">
        <v>12</v>
      </c>
      <c r="AB35" s="83">
        <f t="shared" si="1"/>
        <v>56488.824000000001</v>
      </c>
      <c r="AC35" s="83"/>
      <c r="AD35" s="83">
        <f t="shared" si="13"/>
        <v>0</v>
      </c>
      <c r="AE35" s="134"/>
      <c r="AF35" s="132">
        <f t="shared" si="14"/>
        <v>0</v>
      </c>
      <c r="AG35" s="88"/>
      <c r="AH35" s="88">
        <f t="shared" si="23"/>
        <v>0</v>
      </c>
      <c r="AI35" s="88"/>
      <c r="AJ35" s="88"/>
      <c r="AK35" s="88">
        <v>10</v>
      </c>
      <c r="AL35" s="88">
        <f t="shared" si="24"/>
        <v>5530.3125</v>
      </c>
      <c r="AM35" s="97"/>
      <c r="AN35" s="88">
        <f t="shared" si="25"/>
        <v>0</v>
      </c>
      <c r="AO35" s="88"/>
      <c r="AP35" s="88"/>
      <c r="AQ35" s="88"/>
      <c r="AR35" s="88"/>
      <c r="AS35" s="89">
        <v>10</v>
      </c>
      <c r="AT35" s="88">
        <f t="shared" si="16"/>
        <v>35305.515000000007</v>
      </c>
      <c r="AU35" s="88"/>
      <c r="AV35" s="88">
        <v>0</v>
      </c>
      <c r="AW35" s="88">
        <f t="shared" si="17"/>
        <v>0</v>
      </c>
      <c r="AX35" s="88"/>
      <c r="AY35" s="88">
        <f t="shared" si="18"/>
        <v>0</v>
      </c>
      <c r="AZ35" s="84"/>
      <c r="BA35" s="88"/>
      <c r="BB35" s="88"/>
      <c r="BC35" s="88">
        <f t="shared" si="19"/>
        <v>0</v>
      </c>
      <c r="BD35" s="88" t="s">
        <v>350</v>
      </c>
      <c r="BE35" s="88"/>
      <c r="BF35" s="88"/>
      <c r="BG35" s="88">
        <v>10618</v>
      </c>
      <c r="BH35" s="71"/>
      <c r="BI35" s="91"/>
      <c r="BJ35" s="88"/>
      <c r="BK35" s="94"/>
      <c r="BL35" s="88">
        <f t="shared" si="8"/>
        <v>14122.206000000004</v>
      </c>
      <c r="BM35" s="88">
        <f t="shared" si="20"/>
        <v>263286.91750000004</v>
      </c>
      <c r="BO35" s="116">
        <v>12</v>
      </c>
    </row>
    <row r="36" spans="1:67" s="45" customFormat="1" ht="18" x14ac:dyDescent="0.35">
      <c r="A36" s="51"/>
      <c r="B36" s="70" t="s">
        <v>146</v>
      </c>
      <c r="C36" s="70" t="s">
        <v>369</v>
      </c>
      <c r="D36" s="70" t="s">
        <v>191</v>
      </c>
      <c r="E36" s="109">
        <v>0</v>
      </c>
      <c r="F36" s="70" t="s">
        <v>211</v>
      </c>
      <c r="G36" s="70" t="s">
        <v>194</v>
      </c>
      <c r="H36" s="51"/>
      <c r="I36" s="70" t="s">
        <v>197</v>
      </c>
      <c r="J36" s="73">
        <v>4.0999999999999996</v>
      </c>
      <c r="K36" s="81">
        <f t="shared" si="21"/>
        <v>145115.4</v>
      </c>
      <c r="L36" s="53">
        <f t="shared" si="9"/>
        <v>25</v>
      </c>
      <c r="M36" s="70"/>
      <c r="N36" s="70">
        <v>25</v>
      </c>
      <c r="O36" s="70"/>
      <c r="P36" s="83">
        <f t="shared" si="10"/>
        <v>0</v>
      </c>
      <c r="Q36" s="83">
        <f t="shared" si="11"/>
        <v>226742.8125</v>
      </c>
      <c r="R36" s="83">
        <f t="shared" si="12"/>
        <v>0</v>
      </c>
      <c r="S36" s="68"/>
      <c r="T36" s="69"/>
      <c r="U36" s="69"/>
      <c r="V36" s="69"/>
      <c r="W36" s="69"/>
      <c r="X36" s="69"/>
      <c r="Y36" s="69"/>
      <c r="Z36" s="86">
        <f t="shared" si="0"/>
        <v>0</v>
      </c>
      <c r="AA36" s="85"/>
      <c r="AB36" s="83">
        <f t="shared" si="1"/>
        <v>0</v>
      </c>
      <c r="AC36" s="83"/>
      <c r="AD36" s="83">
        <f t="shared" si="13"/>
        <v>0</v>
      </c>
      <c r="AE36" s="134"/>
      <c r="AF36" s="132">
        <f t="shared" si="14"/>
        <v>0</v>
      </c>
      <c r="AG36" s="88"/>
      <c r="AH36" s="88">
        <f t="shared" si="23"/>
        <v>0</v>
      </c>
      <c r="AI36" s="88"/>
      <c r="AJ36" s="88"/>
      <c r="AK36" s="88">
        <v>25</v>
      </c>
      <c r="AL36" s="88">
        <f t="shared" si="24"/>
        <v>13825.78125</v>
      </c>
      <c r="AM36" s="97"/>
      <c r="AN36" s="88">
        <f t="shared" si="25"/>
        <v>0</v>
      </c>
      <c r="AO36" s="88"/>
      <c r="AP36" s="88"/>
      <c r="AQ36" s="88"/>
      <c r="AR36" s="88"/>
      <c r="AS36" s="89">
        <f t="shared" si="15"/>
        <v>25</v>
      </c>
      <c r="AT36" s="88">
        <f t="shared" si="16"/>
        <v>68022.84375</v>
      </c>
      <c r="AU36" s="88"/>
      <c r="AV36" s="88"/>
      <c r="AW36" s="88">
        <f t="shared" si="17"/>
        <v>0</v>
      </c>
      <c r="AX36" s="88"/>
      <c r="AY36" s="88">
        <f t="shared" si="18"/>
        <v>0</v>
      </c>
      <c r="AZ36" s="84"/>
      <c r="BA36" s="88"/>
      <c r="BB36" s="88"/>
      <c r="BC36" s="88">
        <f t="shared" si="19"/>
        <v>0</v>
      </c>
      <c r="BD36" s="88" t="s">
        <v>351</v>
      </c>
      <c r="BE36" s="88"/>
      <c r="BF36" s="88">
        <v>10618</v>
      </c>
      <c r="BG36" s="88"/>
      <c r="BH36" s="71"/>
      <c r="BI36" s="91"/>
      <c r="BJ36" s="88"/>
      <c r="BK36" s="94"/>
      <c r="BL36" s="88">
        <f t="shared" si="8"/>
        <v>22674.28125</v>
      </c>
      <c r="BM36" s="88">
        <f t="shared" si="20"/>
        <v>341883.71875</v>
      </c>
      <c r="BO36" s="116">
        <v>25</v>
      </c>
    </row>
    <row r="37" spans="1:67" s="45" customFormat="1" ht="18" x14ac:dyDescent="0.35">
      <c r="A37" s="51"/>
      <c r="B37" s="70" t="s">
        <v>147</v>
      </c>
      <c r="C37" s="70" t="s">
        <v>369</v>
      </c>
      <c r="D37" s="70" t="s">
        <v>193</v>
      </c>
      <c r="E37" s="111">
        <v>16.3</v>
      </c>
      <c r="F37" s="70" t="s">
        <v>204</v>
      </c>
      <c r="G37" s="70" t="s">
        <v>1</v>
      </c>
      <c r="H37" s="51"/>
      <c r="I37" s="70" t="s">
        <v>199</v>
      </c>
      <c r="J37" s="73">
        <v>4.16</v>
      </c>
      <c r="K37" s="81">
        <f t="shared" si="21"/>
        <v>147239.04000000001</v>
      </c>
      <c r="L37" s="53">
        <f t="shared" si="9"/>
        <v>20</v>
      </c>
      <c r="M37" s="70">
        <v>20</v>
      </c>
      <c r="N37" s="70"/>
      <c r="O37" s="70"/>
      <c r="P37" s="83">
        <f t="shared" si="10"/>
        <v>184048.80000000002</v>
      </c>
      <c r="Q37" s="83">
        <f t="shared" si="11"/>
        <v>0</v>
      </c>
      <c r="R37" s="83">
        <f t="shared" si="12"/>
        <v>0</v>
      </c>
      <c r="S37" s="68"/>
      <c r="T37" s="69"/>
      <c r="U37" s="69"/>
      <c r="V37" s="69"/>
      <c r="W37" s="69"/>
      <c r="X37" s="69"/>
      <c r="Y37" s="69"/>
      <c r="Z37" s="86">
        <f t="shared" si="0"/>
        <v>0</v>
      </c>
      <c r="AA37" s="85"/>
      <c r="AB37" s="83">
        <f t="shared" si="1"/>
        <v>0</v>
      </c>
      <c r="AC37" s="83"/>
      <c r="AD37" s="83">
        <f t="shared" si="13"/>
        <v>0</v>
      </c>
      <c r="AE37" s="133">
        <v>20</v>
      </c>
      <c r="AF37" s="132">
        <f t="shared" si="14"/>
        <v>55214.640000000007</v>
      </c>
      <c r="AG37" s="88">
        <v>12</v>
      </c>
      <c r="AH37" s="88">
        <f t="shared" si="23"/>
        <v>5309.1</v>
      </c>
      <c r="AI37" s="88"/>
      <c r="AJ37" s="88"/>
      <c r="AK37" s="88"/>
      <c r="AL37" s="88">
        <f t="shared" si="24"/>
        <v>0</v>
      </c>
      <c r="AM37" s="97"/>
      <c r="AN37" s="88">
        <f t="shared" si="25"/>
        <v>0</v>
      </c>
      <c r="AO37" s="88"/>
      <c r="AP37" s="88"/>
      <c r="AQ37" s="88"/>
      <c r="AR37" s="88"/>
      <c r="AS37" s="89">
        <v>19</v>
      </c>
      <c r="AT37" s="88">
        <f t="shared" si="16"/>
        <v>52453.908000000003</v>
      </c>
      <c r="AU37" s="88"/>
      <c r="AV37" s="88"/>
      <c r="AW37" s="88">
        <f t="shared" si="17"/>
        <v>0</v>
      </c>
      <c r="AX37" s="88"/>
      <c r="AY37" s="88">
        <f t="shared" si="18"/>
        <v>0</v>
      </c>
      <c r="AZ37" s="84"/>
      <c r="BA37" s="88"/>
      <c r="BB37" s="88"/>
      <c r="BC37" s="88">
        <f t="shared" si="19"/>
        <v>0</v>
      </c>
      <c r="BD37" s="88" t="s">
        <v>336</v>
      </c>
      <c r="BE37" s="88">
        <v>8849</v>
      </c>
      <c r="BF37" s="88"/>
      <c r="BG37" s="88"/>
      <c r="BH37" s="71"/>
      <c r="BI37" s="91"/>
      <c r="BJ37" s="88"/>
      <c r="BK37" s="94"/>
      <c r="BL37" s="88">
        <f t="shared" si="8"/>
        <v>18404.88</v>
      </c>
      <c r="BM37" s="88">
        <f t="shared" si="20"/>
        <v>324280.32800000004</v>
      </c>
      <c r="BO37" s="116">
        <v>20</v>
      </c>
    </row>
    <row r="38" spans="1:67" s="45" customFormat="1" ht="18" x14ac:dyDescent="0.35">
      <c r="A38" s="51"/>
      <c r="B38" s="70" t="s">
        <v>148</v>
      </c>
      <c r="C38" s="70" t="s">
        <v>369</v>
      </c>
      <c r="D38" s="74" t="s">
        <v>191</v>
      </c>
      <c r="E38" s="113">
        <v>20</v>
      </c>
      <c r="F38" s="74" t="s">
        <v>212</v>
      </c>
      <c r="G38" s="74" t="s">
        <v>1</v>
      </c>
      <c r="H38" s="51"/>
      <c r="I38" s="74" t="s">
        <v>196</v>
      </c>
      <c r="J38" s="73">
        <v>5.08</v>
      </c>
      <c r="K38" s="81">
        <f t="shared" si="21"/>
        <v>179801.52</v>
      </c>
      <c r="L38" s="53">
        <f t="shared" si="9"/>
        <v>24</v>
      </c>
      <c r="M38" s="74">
        <v>8</v>
      </c>
      <c r="N38" s="74">
        <v>12</v>
      </c>
      <c r="O38" s="74">
        <v>4</v>
      </c>
      <c r="P38" s="83">
        <f t="shared" si="10"/>
        <v>89900.76</v>
      </c>
      <c r="Q38" s="83">
        <f t="shared" si="11"/>
        <v>134851.13999999998</v>
      </c>
      <c r="R38" s="83">
        <f t="shared" si="12"/>
        <v>44950.38</v>
      </c>
      <c r="S38" s="68"/>
      <c r="T38" s="69"/>
      <c r="U38" s="69"/>
      <c r="V38" s="69"/>
      <c r="W38" s="69"/>
      <c r="X38" s="69"/>
      <c r="Y38" s="69"/>
      <c r="Z38" s="86">
        <f t="shared" si="0"/>
        <v>0</v>
      </c>
      <c r="AA38" s="85"/>
      <c r="AB38" s="83">
        <f t="shared" si="1"/>
        <v>0</v>
      </c>
      <c r="AC38" s="83"/>
      <c r="AD38" s="83">
        <f t="shared" si="13"/>
        <v>0</v>
      </c>
      <c r="AE38" s="133">
        <v>24</v>
      </c>
      <c r="AF38" s="132">
        <f t="shared" si="14"/>
        <v>80910.683999999994</v>
      </c>
      <c r="AG38" s="88"/>
      <c r="AH38" s="88">
        <f t="shared" si="23"/>
        <v>0</v>
      </c>
      <c r="AI38" s="88"/>
      <c r="AJ38" s="88"/>
      <c r="AK38" s="88">
        <v>24</v>
      </c>
      <c r="AL38" s="88">
        <f t="shared" si="24"/>
        <v>13272.75</v>
      </c>
      <c r="AM38" s="98"/>
      <c r="AN38" s="88">
        <f t="shared" si="25"/>
        <v>0</v>
      </c>
      <c r="AO38" s="88"/>
      <c r="AP38" s="88"/>
      <c r="AQ38" s="88"/>
      <c r="AR38" s="88"/>
      <c r="AS38" s="89">
        <f t="shared" si="15"/>
        <v>24</v>
      </c>
      <c r="AT38" s="88">
        <f t="shared" si="16"/>
        <v>80910.683999999994</v>
      </c>
      <c r="AU38" s="88"/>
      <c r="AV38" s="88">
        <v>8</v>
      </c>
      <c r="AW38" s="88">
        <f t="shared" si="17"/>
        <v>3539.4</v>
      </c>
      <c r="AX38" s="88"/>
      <c r="AY38" s="88">
        <f t="shared" si="18"/>
        <v>0</v>
      </c>
      <c r="AZ38" s="84"/>
      <c r="BA38" s="88"/>
      <c r="BB38" s="88"/>
      <c r="BC38" s="88">
        <f t="shared" si="19"/>
        <v>0</v>
      </c>
      <c r="BD38" s="88" t="s">
        <v>352</v>
      </c>
      <c r="BE38" s="88"/>
      <c r="BF38" s="88">
        <v>10618</v>
      </c>
      <c r="BG38" s="88"/>
      <c r="BH38" s="71"/>
      <c r="BI38" s="91"/>
      <c r="BJ38" s="88"/>
      <c r="BK38" s="94"/>
      <c r="BL38" s="88">
        <f t="shared" si="8"/>
        <v>26970.227999999999</v>
      </c>
      <c r="BM38" s="88">
        <f t="shared" si="20"/>
        <v>485924.02600000001</v>
      </c>
      <c r="BO38" s="116">
        <v>24</v>
      </c>
    </row>
    <row r="39" spans="1:67" s="45" customFormat="1" ht="18" x14ac:dyDescent="0.35">
      <c r="A39" s="51"/>
      <c r="B39" s="70" t="s">
        <v>282</v>
      </c>
      <c r="C39" s="70" t="s">
        <v>369</v>
      </c>
      <c r="D39" s="74" t="s">
        <v>191</v>
      </c>
      <c r="E39" s="113">
        <v>20</v>
      </c>
      <c r="F39" s="74" t="s">
        <v>212</v>
      </c>
      <c r="G39" s="74" t="s">
        <v>1</v>
      </c>
      <c r="H39" s="51"/>
      <c r="I39" s="74" t="s">
        <v>196</v>
      </c>
      <c r="J39" s="73">
        <v>5.08</v>
      </c>
      <c r="K39" s="81">
        <f t="shared" si="21"/>
        <v>179801.52</v>
      </c>
      <c r="L39" s="53">
        <f t="shared" si="9"/>
        <v>2</v>
      </c>
      <c r="M39" s="74">
        <v>2</v>
      </c>
      <c r="N39" s="74"/>
      <c r="O39" s="74"/>
      <c r="P39" s="83">
        <f t="shared" si="10"/>
        <v>22475.19</v>
      </c>
      <c r="Q39" s="83">
        <f t="shared" si="11"/>
        <v>0</v>
      </c>
      <c r="R39" s="83">
        <f t="shared" si="12"/>
        <v>0</v>
      </c>
      <c r="S39" s="68"/>
      <c r="T39" s="69"/>
      <c r="U39" s="69"/>
      <c r="V39" s="69"/>
      <c r="W39" s="69"/>
      <c r="X39" s="69"/>
      <c r="Y39" s="69"/>
      <c r="Z39" s="86">
        <f t="shared" si="0"/>
        <v>0</v>
      </c>
      <c r="AA39" s="85"/>
      <c r="AB39" s="83">
        <f t="shared" si="1"/>
        <v>0</v>
      </c>
      <c r="AC39" s="83"/>
      <c r="AD39" s="83">
        <f t="shared" si="13"/>
        <v>0</v>
      </c>
      <c r="AE39" s="133">
        <v>2</v>
      </c>
      <c r="AF39" s="132">
        <f t="shared" si="14"/>
        <v>6742.5569999999998</v>
      </c>
      <c r="AG39" s="88"/>
      <c r="AH39" s="88">
        <f t="shared" si="23"/>
        <v>0</v>
      </c>
      <c r="AI39" s="88"/>
      <c r="AJ39" s="88"/>
      <c r="AK39" s="88">
        <v>2</v>
      </c>
      <c r="AL39" s="88">
        <f t="shared" si="24"/>
        <v>1106.0625</v>
      </c>
      <c r="AM39" s="98"/>
      <c r="AN39" s="88">
        <f t="shared" si="25"/>
        <v>0</v>
      </c>
      <c r="AO39" s="88"/>
      <c r="AP39" s="88"/>
      <c r="AQ39" s="88"/>
      <c r="AR39" s="88"/>
      <c r="AS39" s="89"/>
      <c r="AT39" s="88"/>
      <c r="AU39" s="88"/>
      <c r="AV39" s="88"/>
      <c r="AW39" s="88">
        <f t="shared" si="17"/>
        <v>0</v>
      </c>
      <c r="AX39" s="88"/>
      <c r="AY39" s="88">
        <f t="shared" si="18"/>
        <v>0</v>
      </c>
      <c r="AZ39" s="84"/>
      <c r="BA39" s="88"/>
      <c r="BB39" s="88"/>
      <c r="BC39" s="88">
        <f t="shared" si="19"/>
        <v>0</v>
      </c>
      <c r="BD39" s="88"/>
      <c r="BE39" s="88"/>
      <c r="BF39" s="88"/>
      <c r="BG39" s="88"/>
      <c r="BH39" s="71"/>
      <c r="BI39" s="91"/>
      <c r="BJ39" s="88"/>
      <c r="BK39" s="94"/>
      <c r="BL39" s="88">
        <v>0</v>
      </c>
      <c r="BM39" s="88">
        <f t="shared" si="20"/>
        <v>30323.809499999999</v>
      </c>
      <c r="BO39" s="116">
        <v>2</v>
      </c>
    </row>
    <row r="40" spans="1:67" s="45" customFormat="1" ht="18" x14ac:dyDescent="0.35">
      <c r="A40" s="51"/>
      <c r="B40" s="70" t="s">
        <v>149</v>
      </c>
      <c r="C40" s="70" t="s">
        <v>369</v>
      </c>
      <c r="D40" s="74" t="s">
        <v>191</v>
      </c>
      <c r="E40" s="114">
        <v>29</v>
      </c>
      <c r="F40" s="70" t="s">
        <v>113</v>
      </c>
      <c r="G40" s="70" t="s">
        <v>194</v>
      </c>
      <c r="H40" s="51"/>
      <c r="I40" s="74" t="s">
        <v>197</v>
      </c>
      <c r="J40" s="73">
        <v>4.7300000000000004</v>
      </c>
      <c r="K40" s="81">
        <f t="shared" si="21"/>
        <v>167413.62000000002</v>
      </c>
      <c r="L40" s="53">
        <f t="shared" si="9"/>
        <v>14</v>
      </c>
      <c r="M40" s="74">
        <v>6</v>
      </c>
      <c r="N40" s="74">
        <v>8</v>
      </c>
      <c r="O40" s="74"/>
      <c r="P40" s="83">
        <f t="shared" si="10"/>
        <v>62780.107500000013</v>
      </c>
      <c r="Q40" s="83">
        <f t="shared" si="11"/>
        <v>83706.810000000012</v>
      </c>
      <c r="R40" s="83">
        <f t="shared" si="12"/>
        <v>0</v>
      </c>
      <c r="S40" s="68"/>
      <c r="T40" s="69"/>
      <c r="U40" s="69"/>
      <c r="V40" s="69"/>
      <c r="W40" s="69"/>
      <c r="X40" s="69"/>
      <c r="Y40" s="69"/>
      <c r="Z40" s="86">
        <f t="shared" si="0"/>
        <v>0</v>
      </c>
      <c r="AA40" s="85"/>
      <c r="AB40" s="83">
        <f t="shared" si="1"/>
        <v>0</v>
      </c>
      <c r="AC40" s="83"/>
      <c r="AD40" s="83">
        <f t="shared" si="13"/>
        <v>0</v>
      </c>
      <c r="AE40" s="133"/>
      <c r="AF40" s="132">
        <f t="shared" si="14"/>
        <v>0</v>
      </c>
      <c r="AG40" s="88"/>
      <c r="AH40" s="88">
        <f t="shared" si="23"/>
        <v>0</v>
      </c>
      <c r="AI40" s="88"/>
      <c r="AJ40" s="88"/>
      <c r="AK40" s="88"/>
      <c r="AL40" s="88">
        <f t="shared" si="24"/>
        <v>0</v>
      </c>
      <c r="AM40" s="98"/>
      <c r="AN40" s="88">
        <f t="shared" si="25"/>
        <v>0</v>
      </c>
      <c r="AO40" s="88"/>
      <c r="AP40" s="88"/>
      <c r="AQ40" s="88"/>
      <c r="AR40" s="88"/>
      <c r="AS40" s="89">
        <f t="shared" si="15"/>
        <v>14</v>
      </c>
      <c r="AT40" s="88">
        <f t="shared" si="16"/>
        <v>43946.075250000002</v>
      </c>
      <c r="AU40" s="88"/>
      <c r="AV40" s="88">
        <v>1</v>
      </c>
      <c r="AW40" s="88">
        <f t="shared" si="17"/>
        <v>442.42500000000001</v>
      </c>
      <c r="AX40" s="88"/>
      <c r="AY40" s="88">
        <f t="shared" si="18"/>
        <v>0</v>
      </c>
      <c r="AZ40" s="84"/>
      <c r="BA40" s="88"/>
      <c r="BB40" s="88"/>
      <c r="BC40" s="88">
        <f t="shared" si="19"/>
        <v>0</v>
      </c>
      <c r="BD40" s="88"/>
      <c r="BE40" s="88"/>
      <c r="BF40" s="88"/>
      <c r="BG40" s="88"/>
      <c r="BH40" s="71"/>
      <c r="BI40" s="91"/>
      <c r="BJ40" s="88"/>
      <c r="BK40" s="94"/>
      <c r="BL40" s="88">
        <f t="shared" si="8"/>
        <v>14648.691750000005</v>
      </c>
      <c r="BM40" s="88">
        <f t="shared" si="20"/>
        <v>205524.10950000002</v>
      </c>
      <c r="BO40" s="116">
        <v>14</v>
      </c>
    </row>
    <row r="41" spans="1:67" s="45" customFormat="1" ht="18" x14ac:dyDescent="0.35">
      <c r="A41" s="51"/>
      <c r="B41" s="70" t="s">
        <v>150</v>
      </c>
      <c r="C41" s="70" t="s">
        <v>369</v>
      </c>
      <c r="D41" s="74" t="s">
        <v>191</v>
      </c>
      <c r="E41" s="113">
        <v>4.8</v>
      </c>
      <c r="F41" s="74" t="s">
        <v>212</v>
      </c>
      <c r="G41" s="74" t="s">
        <v>1</v>
      </c>
      <c r="H41" s="51"/>
      <c r="I41" s="74" t="s">
        <v>196</v>
      </c>
      <c r="J41" s="73">
        <v>4.6500000000000004</v>
      </c>
      <c r="K41" s="81">
        <f t="shared" si="21"/>
        <v>164582.1</v>
      </c>
      <c r="L41" s="53">
        <f t="shared" si="9"/>
        <v>14</v>
      </c>
      <c r="M41" s="74"/>
      <c r="N41" s="74">
        <v>12</v>
      </c>
      <c r="O41" s="74">
        <v>2</v>
      </c>
      <c r="P41" s="83">
        <f t="shared" si="10"/>
        <v>0</v>
      </c>
      <c r="Q41" s="83">
        <f t="shared" si="11"/>
        <v>123436.57500000001</v>
      </c>
      <c r="R41" s="83">
        <f t="shared" si="12"/>
        <v>20572.762500000001</v>
      </c>
      <c r="S41" s="68"/>
      <c r="T41" s="69"/>
      <c r="U41" s="69"/>
      <c r="V41" s="69"/>
      <c r="W41" s="69"/>
      <c r="X41" s="69"/>
      <c r="Y41" s="69"/>
      <c r="Z41" s="86">
        <f t="shared" si="0"/>
        <v>0</v>
      </c>
      <c r="AA41" s="85"/>
      <c r="AB41" s="83">
        <f t="shared" si="1"/>
        <v>0</v>
      </c>
      <c r="AC41" s="83"/>
      <c r="AD41" s="83">
        <f t="shared" si="13"/>
        <v>0</v>
      </c>
      <c r="AE41" s="133">
        <v>14</v>
      </c>
      <c r="AF41" s="132">
        <f t="shared" si="14"/>
        <v>43202.801249999997</v>
      </c>
      <c r="AG41" s="88"/>
      <c r="AH41" s="88">
        <f t="shared" si="23"/>
        <v>0</v>
      </c>
      <c r="AI41" s="88"/>
      <c r="AJ41" s="88"/>
      <c r="AK41" s="88"/>
      <c r="AL41" s="88">
        <f t="shared" si="24"/>
        <v>0</v>
      </c>
      <c r="AM41" s="98"/>
      <c r="AN41" s="88">
        <f t="shared" si="25"/>
        <v>0</v>
      </c>
      <c r="AO41" s="88"/>
      <c r="AP41" s="88"/>
      <c r="AQ41" s="88"/>
      <c r="AR41" s="88"/>
      <c r="AS41" s="89">
        <f t="shared" si="15"/>
        <v>14</v>
      </c>
      <c r="AT41" s="88">
        <f t="shared" si="16"/>
        <v>43202.801249999997</v>
      </c>
      <c r="AU41" s="88"/>
      <c r="AV41" s="88">
        <v>2</v>
      </c>
      <c r="AW41" s="88">
        <f t="shared" si="17"/>
        <v>884.85</v>
      </c>
      <c r="AX41" s="88"/>
      <c r="AY41" s="88">
        <f t="shared" si="18"/>
        <v>0</v>
      </c>
      <c r="AZ41" s="84"/>
      <c r="BA41" s="88"/>
      <c r="BB41" s="88"/>
      <c r="BC41" s="88">
        <f t="shared" si="19"/>
        <v>0</v>
      </c>
      <c r="BD41" s="88"/>
      <c r="BE41" s="88"/>
      <c r="BF41" s="88"/>
      <c r="BG41" s="88"/>
      <c r="BH41" s="71"/>
      <c r="BI41" s="91"/>
      <c r="BJ41" s="88"/>
      <c r="BK41" s="94"/>
      <c r="BL41" s="88">
        <f t="shared" si="8"/>
        <v>14400.933750000004</v>
      </c>
      <c r="BM41" s="88">
        <f t="shared" si="20"/>
        <v>245700.72375</v>
      </c>
      <c r="BO41" s="116">
        <v>14</v>
      </c>
    </row>
    <row r="42" spans="1:67" s="45" customFormat="1" ht="18" x14ac:dyDescent="0.35">
      <c r="A42" s="51"/>
      <c r="B42" s="70" t="s">
        <v>151</v>
      </c>
      <c r="C42" s="70" t="s">
        <v>369</v>
      </c>
      <c r="D42" s="74" t="s">
        <v>191</v>
      </c>
      <c r="E42" s="114">
        <v>14</v>
      </c>
      <c r="F42" s="70" t="s">
        <v>113</v>
      </c>
      <c r="G42" s="70" t="s">
        <v>194</v>
      </c>
      <c r="H42" s="51"/>
      <c r="I42" s="74" t="s">
        <v>197</v>
      </c>
      <c r="J42" s="73">
        <v>4.49</v>
      </c>
      <c r="K42" s="81">
        <f t="shared" si="21"/>
        <v>158919.06</v>
      </c>
      <c r="L42" s="53">
        <f t="shared" si="9"/>
        <v>22</v>
      </c>
      <c r="M42" s="74">
        <v>8</v>
      </c>
      <c r="N42" s="74">
        <v>10</v>
      </c>
      <c r="O42" s="74">
        <v>4</v>
      </c>
      <c r="P42" s="83">
        <f t="shared" si="10"/>
        <v>79459.53</v>
      </c>
      <c r="Q42" s="83">
        <f t="shared" si="11"/>
        <v>99324.412500000006</v>
      </c>
      <c r="R42" s="83">
        <f t="shared" si="12"/>
        <v>39729.764999999999</v>
      </c>
      <c r="S42" s="68"/>
      <c r="T42" s="69"/>
      <c r="U42" s="69"/>
      <c r="V42" s="69"/>
      <c r="W42" s="69"/>
      <c r="X42" s="69"/>
      <c r="Y42" s="69"/>
      <c r="Z42" s="86">
        <f t="shared" si="0"/>
        <v>0</v>
      </c>
      <c r="AA42" s="85"/>
      <c r="AB42" s="83">
        <f t="shared" si="1"/>
        <v>0</v>
      </c>
      <c r="AC42" s="83"/>
      <c r="AD42" s="83">
        <f t="shared" si="13"/>
        <v>0</v>
      </c>
      <c r="AE42" s="133"/>
      <c r="AF42" s="132">
        <f t="shared" si="14"/>
        <v>0</v>
      </c>
      <c r="AG42" s="88"/>
      <c r="AH42" s="88">
        <f t="shared" si="23"/>
        <v>0</v>
      </c>
      <c r="AI42" s="88"/>
      <c r="AJ42" s="88"/>
      <c r="AK42" s="88"/>
      <c r="AL42" s="88">
        <f t="shared" si="24"/>
        <v>0</v>
      </c>
      <c r="AM42" s="98"/>
      <c r="AN42" s="88">
        <f t="shared" si="25"/>
        <v>0</v>
      </c>
      <c r="AO42" s="88"/>
      <c r="AP42" s="88"/>
      <c r="AQ42" s="88"/>
      <c r="AR42" s="88"/>
      <c r="AS42" s="89">
        <v>22</v>
      </c>
      <c r="AT42" s="88">
        <f t="shared" si="16"/>
        <v>65554.112249999991</v>
      </c>
      <c r="AU42" s="88"/>
      <c r="AV42" s="88">
        <v>7</v>
      </c>
      <c r="AW42" s="88">
        <f t="shared" si="17"/>
        <v>3096.9750000000004</v>
      </c>
      <c r="AX42" s="88">
        <v>2</v>
      </c>
      <c r="AY42" s="88">
        <f t="shared" si="18"/>
        <v>884.85</v>
      </c>
      <c r="AZ42" s="131"/>
      <c r="BA42" s="88">
        <v>2</v>
      </c>
      <c r="BB42" s="88"/>
      <c r="BC42" s="88">
        <f t="shared" si="19"/>
        <v>19864.8825</v>
      </c>
      <c r="BD42" s="88" t="s">
        <v>353</v>
      </c>
      <c r="BE42" s="88"/>
      <c r="BF42" s="88"/>
      <c r="BG42" s="88">
        <v>10618</v>
      </c>
      <c r="BH42" s="71"/>
      <c r="BI42" s="103"/>
      <c r="BJ42" s="88"/>
      <c r="BK42" s="94"/>
      <c r="BL42" s="88">
        <f t="shared" si="8"/>
        <v>21851.370750000002</v>
      </c>
      <c r="BM42" s="88">
        <f t="shared" si="20"/>
        <v>340383.89799999999</v>
      </c>
      <c r="BO42" s="116">
        <v>23</v>
      </c>
    </row>
    <row r="43" spans="1:67" s="45" customFormat="1" ht="18" x14ac:dyDescent="0.35">
      <c r="A43" s="51"/>
      <c r="B43" s="70" t="s">
        <v>282</v>
      </c>
      <c r="C43" s="70" t="s">
        <v>369</v>
      </c>
      <c r="D43" s="74" t="s">
        <v>191</v>
      </c>
      <c r="E43" s="114">
        <v>14</v>
      </c>
      <c r="F43" s="70" t="s">
        <v>113</v>
      </c>
      <c r="G43" s="70" t="s">
        <v>194</v>
      </c>
      <c r="H43" s="51"/>
      <c r="I43" s="74" t="s">
        <v>197</v>
      </c>
      <c r="J43" s="73">
        <v>4.49</v>
      </c>
      <c r="K43" s="81">
        <f t="shared" si="21"/>
        <v>158919.06</v>
      </c>
      <c r="L43" s="53">
        <f t="shared" si="9"/>
        <v>8</v>
      </c>
      <c r="M43" s="74">
        <v>6</v>
      </c>
      <c r="N43" s="74"/>
      <c r="O43" s="74">
        <v>2</v>
      </c>
      <c r="P43" s="83">
        <f t="shared" si="10"/>
        <v>59594.647499999999</v>
      </c>
      <c r="Q43" s="83">
        <f t="shared" si="11"/>
        <v>0</v>
      </c>
      <c r="R43" s="83">
        <f t="shared" si="12"/>
        <v>19864.8825</v>
      </c>
      <c r="S43" s="68"/>
      <c r="T43" s="69"/>
      <c r="U43" s="69"/>
      <c r="V43" s="69"/>
      <c r="W43" s="69"/>
      <c r="X43" s="69"/>
      <c r="Y43" s="69"/>
      <c r="Z43" s="86">
        <f t="shared" si="0"/>
        <v>0</v>
      </c>
      <c r="AA43" s="85"/>
      <c r="AB43" s="83">
        <f t="shared" si="1"/>
        <v>0</v>
      </c>
      <c r="AC43" s="83"/>
      <c r="AD43" s="83">
        <f t="shared" si="13"/>
        <v>0</v>
      </c>
      <c r="AE43" s="133"/>
      <c r="AF43" s="132">
        <f t="shared" si="14"/>
        <v>0</v>
      </c>
      <c r="AG43" s="88"/>
      <c r="AH43" s="88">
        <f t="shared" si="23"/>
        <v>0</v>
      </c>
      <c r="AI43" s="88"/>
      <c r="AJ43" s="88"/>
      <c r="AK43" s="88"/>
      <c r="AL43" s="88">
        <f t="shared" si="24"/>
        <v>0</v>
      </c>
      <c r="AM43" s="98"/>
      <c r="AN43" s="88">
        <f t="shared" si="25"/>
        <v>0</v>
      </c>
      <c r="AO43" s="88"/>
      <c r="AP43" s="88"/>
      <c r="AQ43" s="88"/>
      <c r="AR43" s="88"/>
      <c r="AS43" s="89">
        <v>6</v>
      </c>
      <c r="AT43" s="88">
        <f t="shared" si="16"/>
        <v>17878.394249999998</v>
      </c>
      <c r="AU43" s="88"/>
      <c r="AV43" s="88"/>
      <c r="AW43" s="88">
        <f t="shared" si="17"/>
        <v>0</v>
      </c>
      <c r="AX43" s="88"/>
      <c r="AY43" s="88">
        <f t="shared" si="18"/>
        <v>0</v>
      </c>
      <c r="AZ43" s="84"/>
      <c r="BA43" s="88"/>
      <c r="BB43" s="88"/>
      <c r="BC43" s="88">
        <f t="shared" si="19"/>
        <v>0</v>
      </c>
      <c r="BD43" s="88"/>
      <c r="BE43" s="88"/>
      <c r="BF43" s="88"/>
      <c r="BG43" s="88"/>
      <c r="BH43" s="71"/>
      <c r="BI43" s="91"/>
      <c r="BJ43" s="88"/>
      <c r="BK43" s="94"/>
      <c r="BL43" s="88">
        <f t="shared" si="8"/>
        <v>7945.9530000000004</v>
      </c>
      <c r="BM43" s="88">
        <f t="shared" si="20"/>
        <v>105283.87724999999</v>
      </c>
      <c r="BO43" s="116">
        <v>8</v>
      </c>
    </row>
    <row r="44" spans="1:67" s="45" customFormat="1" ht="18" x14ac:dyDescent="0.35">
      <c r="A44" s="51"/>
      <c r="B44" s="77" t="s">
        <v>152</v>
      </c>
      <c r="C44" s="70" t="s">
        <v>369</v>
      </c>
      <c r="D44" s="75" t="s">
        <v>193</v>
      </c>
      <c r="E44" s="115">
        <v>0</v>
      </c>
      <c r="F44" s="70" t="s">
        <v>213</v>
      </c>
      <c r="G44" s="70" t="s">
        <v>194</v>
      </c>
      <c r="H44" s="51"/>
      <c r="I44" s="75" t="s">
        <v>201</v>
      </c>
      <c r="J44" s="76">
        <v>3.32</v>
      </c>
      <c r="K44" s="81">
        <f t="shared" ref="K44:K74" si="26">J44*17697*2</f>
        <v>117508.07999999999</v>
      </c>
      <c r="L44" s="53">
        <f t="shared" si="9"/>
        <v>21</v>
      </c>
      <c r="M44" s="75"/>
      <c r="N44" s="75">
        <v>21</v>
      </c>
      <c r="O44" s="75"/>
      <c r="P44" s="83">
        <f t="shared" si="10"/>
        <v>0</v>
      </c>
      <c r="Q44" s="83">
        <f t="shared" si="11"/>
        <v>154229.35499999998</v>
      </c>
      <c r="R44" s="83">
        <f t="shared" si="12"/>
        <v>0</v>
      </c>
      <c r="S44" s="68"/>
      <c r="T44" s="69"/>
      <c r="U44" s="69"/>
      <c r="V44" s="69"/>
      <c r="W44" s="69"/>
      <c r="X44" s="69"/>
      <c r="Y44" s="69"/>
      <c r="Z44" s="86">
        <f t="shared" si="0"/>
        <v>0</v>
      </c>
      <c r="AA44" s="85"/>
      <c r="AB44" s="83">
        <f t="shared" si="1"/>
        <v>0</v>
      </c>
      <c r="AC44" s="83"/>
      <c r="AD44" s="83">
        <f t="shared" si="13"/>
        <v>0</v>
      </c>
      <c r="AE44" s="133"/>
      <c r="AF44" s="132">
        <f t="shared" si="14"/>
        <v>0</v>
      </c>
      <c r="AG44" s="88"/>
      <c r="AH44" s="88">
        <f t="shared" si="23"/>
        <v>0</v>
      </c>
      <c r="AI44" s="88"/>
      <c r="AJ44" s="88"/>
      <c r="AK44" s="88"/>
      <c r="AL44" s="88">
        <f t="shared" si="24"/>
        <v>0</v>
      </c>
      <c r="AM44" s="99"/>
      <c r="AN44" s="88">
        <f t="shared" si="25"/>
        <v>0</v>
      </c>
      <c r="AO44" s="88"/>
      <c r="AP44" s="88"/>
      <c r="AQ44" s="88"/>
      <c r="AR44" s="88"/>
      <c r="AS44" s="89">
        <f t="shared" si="15"/>
        <v>21</v>
      </c>
      <c r="AT44" s="88">
        <f t="shared" si="16"/>
        <v>46268.806499999992</v>
      </c>
      <c r="AU44" s="88"/>
      <c r="AV44" s="88">
        <v>3</v>
      </c>
      <c r="AW44" s="88">
        <f t="shared" si="17"/>
        <v>1327.2750000000001</v>
      </c>
      <c r="AX44" s="88"/>
      <c r="AY44" s="88">
        <f t="shared" si="18"/>
        <v>0</v>
      </c>
      <c r="AZ44" s="84"/>
      <c r="BA44" s="88"/>
      <c r="BB44" s="88"/>
      <c r="BC44" s="88">
        <f t="shared" si="19"/>
        <v>0</v>
      </c>
      <c r="BD44" s="88"/>
      <c r="BE44" s="88"/>
      <c r="BF44" s="88"/>
      <c r="BG44" s="88"/>
      <c r="BH44" s="78"/>
      <c r="BI44" s="92"/>
      <c r="BJ44" s="88"/>
      <c r="BK44" s="102"/>
      <c r="BL44" s="88">
        <f t="shared" si="8"/>
        <v>15422.9355</v>
      </c>
      <c r="BM44" s="88">
        <f t="shared" si="20"/>
        <v>217248.37199999997</v>
      </c>
      <c r="BO44" s="116">
        <v>21</v>
      </c>
    </row>
    <row r="45" spans="1:67" s="45" customFormat="1" ht="18" x14ac:dyDescent="0.35">
      <c r="A45" s="51"/>
      <c r="B45" s="77" t="s">
        <v>153</v>
      </c>
      <c r="C45" s="70" t="s">
        <v>369</v>
      </c>
      <c r="D45" s="75" t="s">
        <v>191</v>
      </c>
      <c r="E45" s="115">
        <v>0</v>
      </c>
      <c r="F45" s="70" t="s">
        <v>211</v>
      </c>
      <c r="G45" s="70" t="s">
        <v>194</v>
      </c>
      <c r="H45" s="51"/>
      <c r="I45" s="75" t="s">
        <v>197</v>
      </c>
      <c r="J45" s="76">
        <v>4.0999999999999996</v>
      </c>
      <c r="K45" s="81">
        <f t="shared" si="26"/>
        <v>145115.4</v>
      </c>
      <c r="L45" s="53">
        <f t="shared" si="9"/>
        <v>24</v>
      </c>
      <c r="M45" s="75"/>
      <c r="N45" s="75">
        <v>24</v>
      </c>
      <c r="O45" s="75"/>
      <c r="P45" s="83">
        <f t="shared" si="10"/>
        <v>0</v>
      </c>
      <c r="Q45" s="83">
        <f t="shared" si="11"/>
        <v>217673.09999999998</v>
      </c>
      <c r="R45" s="83">
        <f t="shared" si="12"/>
        <v>0</v>
      </c>
      <c r="S45" s="68"/>
      <c r="T45" s="69"/>
      <c r="U45" s="69"/>
      <c r="V45" s="69"/>
      <c r="W45" s="69"/>
      <c r="X45" s="69"/>
      <c r="Y45" s="69"/>
      <c r="Z45" s="86">
        <f t="shared" si="0"/>
        <v>0</v>
      </c>
      <c r="AA45" s="85"/>
      <c r="AB45" s="83">
        <f t="shared" si="1"/>
        <v>0</v>
      </c>
      <c r="AC45" s="83"/>
      <c r="AD45" s="83">
        <f t="shared" si="13"/>
        <v>0</v>
      </c>
      <c r="AE45" s="133"/>
      <c r="AF45" s="132">
        <f t="shared" si="14"/>
        <v>0</v>
      </c>
      <c r="AG45" s="88">
        <v>24</v>
      </c>
      <c r="AH45" s="88">
        <f t="shared" si="23"/>
        <v>10618.2</v>
      </c>
      <c r="AI45" s="88"/>
      <c r="AJ45" s="88"/>
      <c r="AK45" s="88">
        <v>24</v>
      </c>
      <c r="AL45" s="88">
        <f t="shared" si="24"/>
        <v>13272.75</v>
      </c>
      <c r="AM45" s="99"/>
      <c r="AN45" s="88">
        <f t="shared" si="25"/>
        <v>0</v>
      </c>
      <c r="AO45" s="88"/>
      <c r="AP45" s="88"/>
      <c r="AQ45" s="88"/>
      <c r="AR45" s="88"/>
      <c r="AS45" s="89">
        <f t="shared" si="15"/>
        <v>24</v>
      </c>
      <c r="AT45" s="88">
        <f t="shared" si="16"/>
        <v>65301.929999999993</v>
      </c>
      <c r="AU45" s="88"/>
      <c r="AV45" s="88">
        <v>4</v>
      </c>
      <c r="AW45" s="88">
        <f t="shared" si="17"/>
        <v>1769.7</v>
      </c>
      <c r="AX45" s="88"/>
      <c r="AY45" s="88">
        <f t="shared" si="18"/>
        <v>0</v>
      </c>
      <c r="AZ45" s="84"/>
      <c r="BA45" s="88"/>
      <c r="BB45" s="88"/>
      <c r="BC45" s="88">
        <f t="shared" si="19"/>
        <v>0</v>
      </c>
      <c r="BD45" s="88"/>
      <c r="BE45" s="88"/>
      <c r="BF45" s="88"/>
      <c r="BG45" s="88"/>
      <c r="BH45" s="78"/>
      <c r="BI45" s="92"/>
      <c r="BJ45" s="88"/>
      <c r="BK45" s="94"/>
      <c r="BL45" s="88">
        <f t="shared" si="8"/>
        <v>21767.309999999998</v>
      </c>
      <c r="BM45" s="88">
        <f t="shared" si="20"/>
        <v>330402.99</v>
      </c>
      <c r="BO45" s="116">
        <v>24</v>
      </c>
    </row>
    <row r="46" spans="1:67" s="45" customFormat="1" ht="18" x14ac:dyDescent="0.35">
      <c r="A46" s="51"/>
      <c r="B46" s="77" t="s">
        <v>282</v>
      </c>
      <c r="C46" s="70" t="s">
        <v>369</v>
      </c>
      <c r="D46" s="75" t="s">
        <v>191</v>
      </c>
      <c r="E46" s="115">
        <v>0</v>
      </c>
      <c r="F46" s="70" t="s">
        <v>211</v>
      </c>
      <c r="G46" s="70" t="s">
        <v>194</v>
      </c>
      <c r="H46" s="51"/>
      <c r="I46" s="75" t="s">
        <v>197</v>
      </c>
      <c r="J46" s="76">
        <v>4.0999999999999996</v>
      </c>
      <c r="K46" s="81">
        <f t="shared" si="26"/>
        <v>145115.4</v>
      </c>
      <c r="L46" s="53">
        <f t="shared" si="9"/>
        <v>2</v>
      </c>
      <c r="M46" s="75"/>
      <c r="N46" s="75">
        <v>2</v>
      </c>
      <c r="O46" s="75"/>
      <c r="P46" s="83">
        <f t="shared" si="10"/>
        <v>0</v>
      </c>
      <c r="Q46" s="83">
        <f t="shared" si="11"/>
        <v>18139.424999999999</v>
      </c>
      <c r="R46" s="83">
        <f t="shared" si="12"/>
        <v>0</v>
      </c>
      <c r="S46" s="68"/>
      <c r="T46" s="69"/>
      <c r="U46" s="69"/>
      <c r="V46" s="69"/>
      <c r="W46" s="69"/>
      <c r="X46" s="69"/>
      <c r="Y46" s="69"/>
      <c r="Z46" s="86">
        <f t="shared" si="0"/>
        <v>0</v>
      </c>
      <c r="AA46" s="85"/>
      <c r="AB46" s="83">
        <f t="shared" si="1"/>
        <v>0</v>
      </c>
      <c r="AC46" s="83"/>
      <c r="AD46" s="83">
        <f t="shared" si="13"/>
        <v>0</v>
      </c>
      <c r="AE46" s="133"/>
      <c r="AF46" s="132">
        <f t="shared" si="14"/>
        <v>0</v>
      </c>
      <c r="AG46" s="88">
        <v>2</v>
      </c>
      <c r="AH46" s="88">
        <f t="shared" si="23"/>
        <v>884.85</v>
      </c>
      <c r="AI46" s="88"/>
      <c r="AJ46" s="88"/>
      <c r="AK46" s="88">
        <v>2</v>
      </c>
      <c r="AL46" s="88">
        <f t="shared" si="24"/>
        <v>1106.0625</v>
      </c>
      <c r="AM46" s="99"/>
      <c r="AN46" s="88">
        <f t="shared" si="25"/>
        <v>0</v>
      </c>
      <c r="AO46" s="88"/>
      <c r="AP46" s="88"/>
      <c r="AQ46" s="88"/>
      <c r="AR46" s="88"/>
      <c r="AS46" s="89"/>
      <c r="AT46" s="88"/>
      <c r="AU46" s="88"/>
      <c r="AV46" s="88">
        <v>0</v>
      </c>
      <c r="AW46" s="88">
        <f t="shared" si="17"/>
        <v>0</v>
      </c>
      <c r="AX46" s="88"/>
      <c r="AY46" s="88">
        <f t="shared" si="18"/>
        <v>0</v>
      </c>
      <c r="AZ46" s="84"/>
      <c r="BA46" s="88"/>
      <c r="BB46" s="88"/>
      <c r="BC46" s="88">
        <f t="shared" si="19"/>
        <v>0</v>
      </c>
      <c r="BD46" s="88"/>
      <c r="BE46" s="88"/>
      <c r="BF46" s="88"/>
      <c r="BG46" s="88"/>
      <c r="BH46" s="78"/>
      <c r="BI46" s="92"/>
      <c r="BJ46" s="88"/>
      <c r="BK46" s="94"/>
      <c r="BL46" s="88">
        <v>0</v>
      </c>
      <c r="BM46" s="88">
        <f t="shared" si="20"/>
        <v>20130.337499999998</v>
      </c>
      <c r="BO46" s="116">
        <v>2</v>
      </c>
    </row>
    <row r="47" spans="1:67" s="45" customFormat="1" ht="18" x14ac:dyDescent="0.35">
      <c r="A47" s="51"/>
      <c r="B47" s="77" t="s">
        <v>154</v>
      </c>
      <c r="C47" s="70" t="s">
        <v>369</v>
      </c>
      <c r="D47" s="75" t="s">
        <v>191</v>
      </c>
      <c r="E47" s="115">
        <v>1</v>
      </c>
      <c r="F47" s="70" t="s">
        <v>211</v>
      </c>
      <c r="G47" s="70" t="s">
        <v>194</v>
      </c>
      <c r="H47" s="51"/>
      <c r="I47" s="75" t="s">
        <v>197</v>
      </c>
      <c r="J47" s="76">
        <v>4.1399999999999997</v>
      </c>
      <c r="K47" s="81">
        <f t="shared" si="26"/>
        <v>146531.15999999997</v>
      </c>
      <c r="L47" s="53">
        <f t="shared" si="9"/>
        <v>25</v>
      </c>
      <c r="M47" s="75"/>
      <c r="N47" s="75">
        <v>25</v>
      </c>
      <c r="O47" s="75"/>
      <c r="P47" s="83">
        <f t="shared" si="10"/>
        <v>0</v>
      </c>
      <c r="Q47" s="83">
        <f t="shared" si="11"/>
        <v>228954.93749999997</v>
      </c>
      <c r="R47" s="83">
        <f t="shared" si="12"/>
        <v>0</v>
      </c>
      <c r="S47" s="68"/>
      <c r="T47" s="69"/>
      <c r="U47" s="69"/>
      <c r="V47" s="69"/>
      <c r="W47" s="69"/>
      <c r="X47" s="69"/>
      <c r="Y47" s="69"/>
      <c r="Z47" s="86">
        <f t="shared" si="0"/>
        <v>0</v>
      </c>
      <c r="AA47" s="85"/>
      <c r="AB47" s="83">
        <f t="shared" si="1"/>
        <v>0</v>
      </c>
      <c r="AC47" s="83"/>
      <c r="AD47" s="83">
        <f t="shared" si="13"/>
        <v>0</v>
      </c>
      <c r="AE47" s="133"/>
      <c r="AF47" s="132">
        <f t="shared" si="14"/>
        <v>0</v>
      </c>
      <c r="AG47" s="88">
        <v>25</v>
      </c>
      <c r="AH47" s="88">
        <f t="shared" si="23"/>
        <v>11060.625</v>
      </c>
      <c r="AI47" s="88"/>
      <c r="AJ47" s="88"/>
      <c r="AK47" s="88">
        <v>25</v>
      </c>
      <c r="AL47" s="88">
        <f t="shared" si="24"/>
        <v>13825.78125</v>
      </c>
      <c r="AM47" s="99"/>
      <c r="AN47" s="88">
        <f t="shared" si="25"/>
        <v>0</v>
      </c>
      <c r="AO47" s="88"/>
      <c r="AP47" s="88"/>
      <c r="AQ47" s="88"/>
      <c r="AR47" s="88"/>
      <c r="AS47" s="89">
        <f t="shared" si="15"/>
        <v>25</v>
      </c>
      <c r="AT47" s="88">
        <f t="shared" si="16"/>
        <v>68686.481249999983</v>
      </c>
      <c r="AU47" s="88"/>
      <c r="AV47" s="88">
        <v>15</v>
      </c>
      <c r="AW47" s="88">
        <f t="shared" si="17"/>
        <v>6636.375</v>
      </c>
      <c r="AX47" s="88"/>
      <c r="AY47" s="88">
        <f t="shared" si="18"/>
        <v>0</v>
      </c>
      <c r="AZ47" s="84"/>
      <c r="BA47" s="88"/>
      <c r="BB47" s="88"/>
      <c r="BC47" s="88">
        <f t="shared" si="19"/>
        <v>0</v>
      </c>
      <c r="BD47" s="88"/>
      <c r="BE47" s="88"/>
      <c r="BF47" s="88"/>
      <c r="BG47" s="88"/>
      <c r="BH47" s="78"/>
      <c r="BI47" s="92"/>
      <c r="BJ47" s="88"/>
      <c r="BK47" s="94"/>
      <c r="BL47" s="88">
        <v>21979</v>
      </c>
      <c r="BM47" s="88">
        <f t="shared" si="20"/>
        <v>351143.19999999995</v>
      </c>
      <c r="BO47" s="116">
        <v>25</v>
      </c>
    </row>
    <row r="48" spans="1:67" s="45" customFormat="1" ht="18" x14ac:dyDescent="0.35">
      <c r="A48" s="51"/>
      <c r="B48" s="70" t="s">
        <v>155</v>
      </c>
      <c r="C48" s="70" t="s">
        <v>369</v>
      </c>
      <c r="D48" s="70" t="s">
        <v>191</v>
      </c>
      <c r="E48" s="115">
        <v>7.3</v>
      </c>
      <c r="F48" s="70" t="s">
        <v>214</v>
      </c>
      <c r="G48" s="70" t="s">
        <v>1</v>
      </c>
      <c r="H48" s="51"/>
      <c r="I48" s="70" t="s">
        <v>196</v>
      </c>
      <c r="J48" s="73">
        <v>4.74</v>
      </c>
      <c r="K48" s="81">
        <f t="shared" si="26"/>
        <v>167767.56</v>
      </c>
      <c r="L48" s="53">
        <f t="shared" si="9"/>
        <v>18</v>
      </c>
      <c r="M48" s="70"/>
      <c r="N48" s="70">
        <v>18</v>
      </c>
      <c r="O48" s="70"/>
      <c r="P48" s="83">
        <f t="shared" si="10"/>
        <v>0</v>
      </c>
      <c r="Q48" s="83">
        <f t="shared" si="11"/>
        <v>188738.505</v>
      </c>
      <c r="R48" s="83">
        <f t="shared" si="12"/>
        <v>0</v>
      </c>
      <c r="S48" s="68"/>
      <c r="T48" s="69"/>
      <c r="U48" s="69"/>
      <c r="V48" s="69"/>
      <c r="W48" s="69"/>
      <c r="X48" s="69"/>
      <c r="Y48" s="69"/>
      <c r="Z48" s="86">
        <f t="shared" si="0"/>
        <v>0</v>
      </c>
      <c r="AA48" s="85"/>
      <c r="AB48" s="83">
        <f t="shared" si="1"/>
        <v>0</v>
      </c>
      <c r="AC48" s="83"/>
      <c r="AD48" s="83">
        <f t="shared" si="13"/>
        <v>0</v>
      </c>
      <c r="AE48" s="133">
        <v>20</v>
      </c>
      <c r="AF48" s="132">
        <f t="shared" si="14"/>
        <v>62912.834999999999</v>
      </c>
      <c r="AG48" s="88">
        <v>18</v>
      </c>
      <c r="AH48" s="88">
        <f t="shared" si="23"/>
        <v>7963.6500000000005</v>
      </c>
      <c r="AI48" s="88"/>
      <c r="AJ48" s="88"/>
      <c r="AK48" s="88"/>
      <c r="AL48" s="88">
        <f t="shared" si="24"/>
        <v>0</v>
      </c>
      <c r="AM48" s="97"/>
      <c r="AN48" s="88">
        <f t="shared" si="25"/>
        <v>0</v>
      </c>
      <c r="AO48" s="88"/>
      <c r="AP48" s="88"/>
      <c r="AQ48" s="88"/>
      <c r="AR48" s="88"/>
      <c r="AS48" s="89">
        <v>18</v>
      </c>
      <c r="AT48" s="88">
        <f t="shared" si="16"/>
        <v>56621.551500000001</v>
      </c>
      <c r="AU48" s="88"/>
      <c r="AV48" s="88">
        <v>2</v>
      </c>
      <c r="AW48" s="88">
        <f t="shared" si="17"/>
        <v>884.85</v>
      </c>
      <c r="AX48" s="88">
        <v>2</v>
      </c>
      <c r="AY48" s="88">
        <f t="shared" si="18"/>
        <v>884.85</v>
      </c>
      <c r="AZ48" s="84"/>
      <c r="BA48" s="88">
        <v>2</v>
      </c>
      <c r="BB48" s="88"/>
      <c r="BC48" s="88">
        <f t="shared" si="19"/>
        <v>20970.945</v>
      </c>
      <c r="BD48" s="88" t="s">
        <v>354</v>
      </c>
      <c r="BE48" s="88"/>
      <c r="BF48" s="88">
        <v>10618</v>
      </c>
      <c r="BG48" s="88"/>
      <c r="BH48" s="71"/>
      <c r="BI48" s="91"/>
      <c r="BJ48" s="88"/>
      <c r="BK48" s="94"/>
      <c r="BL48" s="88">
        <f t="shared" si="8"/>
        <v>18873.8505</v>
      </c>
      <c r="BM48" s="88">
        <f t="shared" si="20"/>
        <v>368469.03699999995</v>
      </c>
      <c r="BO48" s="116">
        <v>18</v>
      </c>
    </row>
    <row r="49" spans="1:67" s="45" customFormat="1" ht="18" x14ac:dyDescent="0.35">
      <c r="A49" s="51"/>
      <c r="B49" s="70" t="s">
        <v>156</v>
      </c>
      <c r="C49" s="70" t="s">
        <v>369</v>
      </c>
      <c r="D49" s="74" t="s">
        <v>193</v>
      </c>
      <c r="E49" s="114">
        <v>33.799999999999997</v>
      </c>
      <c r="F49" s="74" t="s">
        <v>204</v>
      </c>
      <c r="G49" s="74" t="s">
        <v>39</v>
      </c>
      <c r="H49" s="51"/>
      <c r="I49" s="74" t="s">
        <v>202</v>
      </c>
      <c r="J49" s="71">
        <v>4.3899999999999997</v>
      </c>
      <c r="K49" s="81">
        <f t="shared" si="26"/>
        <v>155379.65999999997</v>
      </c>
      <c r="L49" s="53">
        <f t="shared" si="9"/>
        <v>18</v>
      </c>
      <c r="M49" s="74">
        <v>18</v>
      </c>
      <c r="N49" s="74"/>
      <c r="O49" s="74"/>
      <c r="P49" s="83">
        <f t="shared" si="10"/>
        <v>174802.11749999996</v>
      </c>
      <c r="Q49" s="83">
        <f t="shared" si="11"/>
        <v>0</v>
      </c>
      <c r="R49" s="83">
        <f t="shared" si="12"/>
        <v>0</v>
      </c>
      <c r="S49" s="68"/>
      <c r="T49" s="69"/>
      <c r="U49" s="69"/>
      <c r="V49" s="69"/>
      <c r="W49" s="69"/>
      <c r="X49" s="69"/>
      <c r="Y49" s="69"/>
      <c r="Z49" s="86">
        <f t="shared" si="0"/>
        <v>0</v>
      </c>
      <c r="AA49" s="85"/>
      <c r="AB49" s="83">
        <f t="shared" si="1"/>
        <v>0</v>
      </c>
      <c r="AC49" s="83">
        <v>18</v>
      </c>
      <c r="AD49" s="83">
        <f t="shared" si="13"/>
        <v>61180.741124999986</v>
      </c>
      <c r="AE49" s="133"/>
      <c r="AF49" s="132">
        <f t="shared" si="14"/>
        <v>0</v>
      </c>
      <c r="AG49" s="88">
        <v>12</v>
      </c>
      <c r="AH49" s="88">
        <f t="shared" si="23"/>
        <v>5309.1</v>
      </c>
      <c r="AI49" s="88"/>
      <c r="AJ49" s="88"/>
      <c r="AK49" s="88"/>
      <c r="AL49" s="88">
        <f t="shared" si="24"/>
        <v>0</v>
      </c>
      <c r="AM49" s="98"/>
      <c r="AN49" s="88">
        <f t="shared" si="25"/>
        <v>0</v>
      </c>
      <c r="AO49" s="88"/>
      <c r="AP49" s="88"/>
      <c r="AQ49" s="88"/>
      <c r="AR49" s="88"/>
      <c r="AS49" s="89">
        <f t="shared" si="15"/>
        <v>18</v>
      </c>
      <c r="AT49" s="88">
        <f t="shared" si="16"/>
        <v>52440.635249999985</v>
      </c>
      <c r="AU49" s="88"/>
      <c r="AV49" s="88">
        <v>18</v>
      </c>
      <c r="AW49" s="88">
        <f t="shared" si="17"/>
        <v>7963.6500000000005</v>
      </c>
      <c r="AX49" s="88"/>
      <c r="AY49" s="88">
        <f t="shared" si="18"/>
        <v>0</v>
      </c>
      <c r="AZ49" s="84"/>
      <c r="BA49" s="88"/>
      <c r="BB49" s="88"/>
      <c r="BC49" s="88">
        <f t="shared" si="19"/>
        <v>0</v>
      </c>
      <c r="BD49" s="88" t="s">
        <v>337</v>
      </c>
      <c r="BE49" s="88">
        <v>8849</v>
      </c>
      <c r="BF49" s="88"/>
      <c r="BG49" s="88"/>
      <c r="BH49" s="71"/>
      <c r="BI49" s="91"/>
      <c r="BJ49" s="88"/>
      <c r="BK49" s="94"/>
      <c r="BL49" s="88">
        <f t="shared" si="8"/>
        <v>17480.211749999999</v>
      </c>
      <c r="BM49" s="88">
        <f t="shared" si="20"/>
        <v>328025.45562499994</v>
      </c>
      <c r="BO49" s="116">
        <v>18</v>
      </c>
    </row>
    <row r="50" spans="1:67" s="45" customFormat="1" ht="18" x14ac:dyDescent="0.35">
      <c r="A50" s="51"/>
      <c r="B50" s="70" t="s">
        <v>157</v>
      </c>
      <c r="C50" s="70" t="s">
        <v>369</v>
      </c>
      <c r="D50" s="70" t="s">
        <v>191</v>
      </c>
      <c r="E50" s="114">
        <v>23.3</v>
      </c>
      <c r="F50" s="70" t="s">
        <v>215</v>
      </c>
      <c r="G50" s="70" t="s">
        <v>39</v>
      </c>
      <c r="H50" s="51"/>
      <c r="I50" s="70" t="s">
        <v>198</v>
      </c>
      <c r="J50" s="71">
        <v>5.12</v>
      </c>
      <c r="K50" s="81">
        <f t="shared" si="26"/>
        <v>181217.28</v>
      </c>
      <c r="L50" s="53">
        <f t="shared" si="9"/>
        <v>22</v>
      </c>
      <c r="M50" s="70"/>
      <c r="N50" s="70">
        <v>20</v>
      </c>
      <c r="O50" s="70">
        <v>2</v>
      </c>
      <c r="P50" s="83">
        <f t="shared" si="10"/>
        <v>0</v>
      </c>
      <c r="Q50" s="83">
        <f t="shared" si="11"/>
        <v>226521.60000000001</v>
      </c>
      <c r="R50" s="83">
        <f t="shared" si="12"/>
        <v>22652.16</v>
      </c>
      <c r="S50" s="68"/>
      <c r="T50" s="69"/>
      <c r="U50" s="69"/>
      <c r="V50" s="69"/>
      <c r="W50" s="69"/>
      <c r="X50" s="69"/>
      <c r="Y50" s="69"/>
      <c r="Z50" s="86">
        <f t="shared" si="0"/>
        <v>0</v>
      </c>
      <c r="AA50" s="85"/>
      <c r="AB50" s="83">
        <f t="shared" si="1"/>
        <v>0</v>
      </c>
      <c r="AC50" s="83">
        <v>24</v>
      </c>
      <c r="AD50" s="83">
        <f t="shared" si="13"/>
        <v>95139.071999999986</v>
      </c>
      <c r="AE50" s="134"/>
      <c r="AF50" s="132">
        <f t="shared" si="14"/>
        <v>0</v>
      </c>
      <c r="AG50" s="88"/>
      <c r="AH50" s="88">
        <f t="shared" si="23"/>
        <v>0</v>
      </c>
      <c r="AI50" s="88"/>
      <c r="AJ50" s="88"/>
      <c r="AK50" s="88"/>
      <c r="AL50" s="88">
        <f t="shared" si="24"/>
        <v>0</v>
      </c>
      <c r="AM50" s="97"/>
      <c r="AN50" s="88">
        <f t="shared" si="25"/>
        <v>0</v>
      </c>
      <c r="AO50" s="88"/>
      <c r="AP50" s="88"/>
      <c r="AQ50" s="88"/>
      <c r="AR50" s="88"/>
      <c r="AS50" s="89">
        <v>22</v>
      </c>
      <c r="AT50" s="88">
        <f t="shared" si="16"/>
        <v>74752.127999999997</v>
      </c>
      <c r="AU50" s="88"/>
      <c r="AV50" s="88">
        <v>3</v>
      </c>
      <c r="AW50" s="88">
        <f t="shared" si="17"/>
        <v>1327.2750000000001</v>
      </c>
      <c r="AX50" s="88">
        <v>2</v>
      </c>
      <c r="AY50" s="88">
        <f t="shared" si="18"/>
        <v>884.85</v>
      </c>
      <c r="AZ50" s="84"/>
      <c r="BA50" s="88">
        <v>2</v>
      </c>
      <c r="BB50" s="88"/>
      <c r="BC50" s="88">
        <f t="shared" si="19"/>
        <v>22652.16</v>
      </c>
      <c r="BD50" s="88" t="s">
        <v>355</v>
      </c>
      <c r="BE50" s="88"/>
      <c r="BF50" s="88">
        <v>10618</v>
      </c>
      <c r="BG50" s="88"/>
      <c r="BH50" s="71"/>
      <c r="BI50" s="91"/>
      <c r="BJ50" s="88"/>
      <c r="BK50" s="94"/>
      <c r="BL50" s="88">
        <f t="shared" si="8"/>
        <v>24917.376000000004</v>
      </c>
      <c r="BM50" s="88">
        <f t="shared" si="20"/>
        <v>479464.62099999993</v>
      </c>
      <c r="BO50" s="116">
        <v>22</v>
      </c>
    </row>
    <row r="51" spans="1:67" s="45" customFormat="1" ht="18" x14ac:dyDescent="0.35">
      <c r="A51" s="51"/>
      <c r="B51" s="70" t="s">
        <v>282</v>
      </c>
      <c r="C51" s="70" t="s">
        <v>369</v>
      </c>
      <c r="D51" s="70" t="s">
        <v>191</v>
      </c>
      <c r="E51" s="114">
        <v>23.3</v>
      </c>
      <c r="F51" s="70" t="s">
        <v>215</v>
      </c>
      <c r="G51" s="70" t="s">
        <v>39</v>
      </c>
      <c r="H51" s="51"/>
      <c r="I51" s="70" t="s">
        <v>198</v>
      </c>
      <c r="J51" s="71">
        <v>5.12</v>
      </c>
      <c r="K51" s="81">
        <f t="shared" si="26"/>
        <v>181217.28</v>
      </c>
      <c r="L51" s="53">
        <f t="shared" si="9"/>
        <v>10</v>
      </c>
      <c r="M51" s="70"/>
      <c r="N51" s="70">
        <v>10</v>
      </c>
      <c r="O51" s="70"/>
      <c r="P51" s="83">
        <f t="shared" si="10"/>
        <v>0</v>
      </c>
      <c r="Q51" s="83">
        <f t="shared" si="11"/>
        <v>113260.8</v>
      </c>
      <c r="R51" s="83">
        <f t="shared" si="12"/>
        <v>0</v>
      </c>
      <c r="S51" s="68"/>
      <c r="T51" s="69"/>
      <c r="U51" s="69"/>
      <c r="V51" s="69"/>
      <c r="W51" s="69"/>
      <c r="X51" s="69"/>
      <c r="Y51" s="69"/>
      <c r="Z51" s="86">
        <f t="shared" si="0"/>
        <v>0</v>
      </c>
      <c r="AA51" s="85"/>
      <c r="AB51" s="83">
        <f t="shared" si="1"/>
        <v>0</v>
      </c>
      <c r="AC51" s="83">
        <v>10</v>
      </c>
      <c r="AD51" s="83">
        <f t="shared" si="13"/>
        <v>39641.279999999999</v>
      </c>
      <c r="AE51" s="134"/>
      <c r="AF51" s="132">
        <f t="shared" si="14"/>
        <v>0</v>
      </c>
      <c r="AG51" s="88"/>
      <c r="AH51" s="88">
        <f t="shared" si="23"/>
        <v>0</v>
      </c>
      <c r="AI51" s="88"/>
      <c r="AJ51" s="88"/>
      <c r="AK51" s="88"/>
      <c r="AL51" s="88">
        <f t="shared" si="24"/>
        <v>0</v>
      </c>
      <c r="AM51" s="97"/>
      <c r="AN51" s="88">
        <f t="shared" si="25"/>
        <v>0</v>
      </c>
      <c r="AO51" s="88"/>
      <c r="AP51" s="88"/>
      <c r="AQ51" s="88"/>
      <c r="AR51" s="88"/>
      <c r="AS51" s="89">
        <f t="shared" si="15"/>
        <v>10</v>
      </c>
      <c r="AT51" s="88">
        <f t="shared" si="16"/>
        <v>33978.239999999998</v>
      </c>
      <c r="AU51" s="88"/>
      <c r="AV51" s="88">
        <v>0</v>
      </c>
      <c r="AW51" s="88">
        <f t="shared" si="17"/>
        <v>0</v>
      </c>
      <c r="AX51" s="88"/>
      <c r="AY51" s="88">
        <f t="shared" si="18"/>
        <v>0</v>
      </c>
      <c r="AZ51" s="84"/>
      <c r="BA51" s="88"/>
      <c r="BB51" s="88"/>
      <c r="BC51" s="88">
        <f t="shared" si="19"/>
        <v>0</v>
      </c>
      <c r="BD51" s="88"/>
      <c r="BE51" s="88"/>
      <c r="BF51" s="88"/>
      <c r="BG51" s="88"/>
      <c r="BH51" s="71"/>
      <c r="BI51" s="91"/>
      <c r="BJ51" s="88"/>
      <c r="BK51" s="94"/>
      <c r="BL51" s="88">
        <v>2265</v>
      </c>
      <c r="BM51" s="88">
        <f t="shared" si="20"/>
        <v>189145.32</v>
      </c>
      <c r="BO51" s="116">
        <v>10</v>
      </c>
    </row>
    <row r="52" spans="1:67" s="45" customFormat="1" ht="18" x14ac:dyDescent="0.35">
      <c r="A52" s="51"/>
      <c r="B52" s="70" t="s">
        <v>158</v>
      </c>
      <c r="C52" s="70" t="s">
        <v>369</v>
      </c>
      <c r="D52" s="70" t="s">
        <v>191</v>
      </c>
      <c r="E52" s="114">
        <v>5</v>
      </c>
      <c r="F52" s="70" t="s">
        <v>211</v>
      </c>
      <c r="G52" s="70" t="s">
        <v>1</v>
      </c>
      <c r="H52" s="51"/>
      <c r="I52" s="70" t="s">
        <v>196</v>
      </c>
      <c r="J52" s="73">
        <v>4.66</v>
      </c>
      <c r="K52" s="81">
        <f t="shared" si="26"/>
        <v>164936.04</v>
      </c>
      <c r="L52" s="53">
        <f t="shared" si="9"/>
        <v>25</v>
      </c>
      <c r="M52" s="70"/>
      <c r="N52" s="70">
        <v>5</v>
      </c>
      <c r="O52" s="70">
        <v>20</v>
      </c>
      <c r="P52" s="83">
        <f t="shared" si="10"/>
        <v>0</v>
      </c>
      <c r="Q52" s="83">
        <f t="shared" si="11"/>
        <v>51542.512500000004</v>
      </c>
      <c r="R52" s="83">
        <f t="shared" si="12"/>
        <v>206170.05000000002</v>
      </c>
      <c r="S52" s="68"/>
      <c r="T52" s="69"/>
      <c r="U52" s="69"/>
      <c r="V52" s="69"/>
      <c r="W52" s="69"/>
      <c r="X52" s="69"/>
      <c r="Y52" s="69"/>
      <c r="Z52" s="86">
        <f t="shared" si="0"/>
        <v>0</v>
      </c>
      <c r="AA52" s="85"/>
      <c r="AB52" s="83">
        <f t="shared" si="1"/>
        <v>0</v>
      </c>
      <c r="AC52" s="83"/>
      <c r="AD52" s="83">
        <f t="shared" si="13"/>
        <v>0</v>
      </c>
      <c r="AE52" s="133">
        <v>25</v>
      </c>
      <c r="AF52" s="132">
        <f t="shared" si="14"/>
        <v>77313.768750000003</v>
      </c>
      <c r="AG52" s="88">
        <v>25</v>
      </c>
      <c r="AH52" s="88">
        <f t="shared" si="23"/>
        <v>11060.625</v>
      </c>
      <c r="AI52" s="88"/>
      <c r="AJ52" s="88"/>
      <c r="AK52" s="88"/>
      <c r="AL52" s="88">
        <f t="shared" si="24"/>
        <v>0</v>
      </c>
      <c r="AM52" s="97"/>
      <c r="AN52" s="88">
        <f t="shared" si="25"/>
        <v>0</v>
      </c>
      <c r="AO52" s="88"/>
      <c r="AP52" s="88"/>
      <c r="AQ52" s="88"/>
      <c r="AR52" s="88"/>
      <c r="AS52" s="89">
        <f t="shared" si="15"/>
        <v>25</v>
      </c>
      <c r="AT52" s="88">
        <f t="shared" si="16"/>
        <v>77313.768750000003</v>
      </c>
      <c r="AU52" s="88"/>
      <c r="AV52" s="88"/>
      <c r="AW52" s="88">
        <f t="shared" si="17"/>
        <v>0</v>
      </c>
      <c r="AX52" s="88"/>
      <c r="AY52" s="88">
        <f t="shared" si="18"/>
        <v>0</v>
      </c>
      <c r="AZ52" s="84"/>
      <c r="BA52" s="88"/>
      <c r="BB52" s="88"/>
      <c r="BC52" s="88">
        <f t="shared" si="19"/>
        <v>0</v>
      </c>
      <c r="BD52" s="88"/>
      <c r="BE52" s="88"/>
      <c r="BF52" s="88"/>
      <c r="BG52" s="88"/>
      <c r="BH52" s="71"/>
      <c r="BI52" s="104">
        <v>39320</v>
      </c>
      <c r="BJ52" s="88"/>
      <c r="BK52" s="94"/>
      <c r="BL52" s="88">
        <v>24740</v>
      </c>
      <c r="BM52" s="88">
        <f t="shared" si="20"/>
        <v>487460.72500000003</v>
      </c>
      <c r="BO52" s="116">
        <v>25</v>
      </c>
    </row>
    <row r="53" spans="1:67" s="45" customFormat="1" ht="18" x14ac:dyDescent="0.35">
      <c r="A53" s="51"/>
      <c r="B53" s="70" t="s">
        <v>282</v>
      </c>
      <c r="C53" s="70" t="s">
        <v>369</v>
      </c>
      <c r="D53" s="70" t="s">
        <v>191</v>
      </c>
      <c r="E53" s="114">
        <v>5</v>
      </c>
      <c r="F53" s="70" t="s">
        <v>211</v>
      </c>
      <c r="G53" s="70" t="s">
        <v>1</v>
      </c>
      <c r="H53" s="51"/>
      <c r="I53" s="70" t="s">
        <v>196</v>
      </c>
      <c r="J53" s="73">
        <v>4.66</v>
      </c>
      <c r="K53" s="81">
        <f t="shared" si="26"/>
        <v>164936.04</v>
      </c>
      <c r="L53" s="53">
        <f t="shared" si="9"/>
        <v>3</v>
      </c>
      <c r="M53" s="70"/>
      <c r="N53" s="70"/>
      <c r="O53" s="70">
        <v>3</v>
      </c>
      <c r="P53" s="83">
        <f t="shared" si="10"/>
        <v>0</v>
      </c>
      <c r="Q53" s="83">
        <f t="shared" si="11"/>
        <v>0</v>
      </c>
      <c r="R53" s="83">
        <f t="shared" si="12"/>
        <v>30925.5075</v>
      </c>
      <c r="S53" s="68"/>
      <c r="T53" s="69"/>
      <c r="U53" s="69"/>
      <c r="V53" s="69"/>
      <c r="W53" s="69"/>
      <c r="X53" s="69"/>
      <c r="Y53" s="69"/>
      <c r="Z53" s="86">
        <f t="shared" si="0"/>
        <v>0</v>
      </c>
      <c r="AA53" s="85"/>
      <c r="AB53" s="83">
        <f t="shared" si="1"/>
        <v>0</v>
      </c>
      <c r="AC53" s="83"/>
      <c r="AD53" s="83">
        <f t="shared" si="13"/>
        <v>0</v>
      </c>
      <c r="AE53" s="133">
        <v>2</v>
      </c>
      <c r="AF53" s="132">
        <f t="shared" si="14"/>
        <v>6185.1014999999998</v>
      </c>
      <c r="AG53" s="88">
        <v>0</v>
      </c>
      <c r="AH53" s="88">
        <f t="shared" si="23"/>
        <v>0</v>
      </c>
      <c r="AI53" s="88"/>
      <c r="AJ53" s="88"/>
      <c r="AK53" s="88"/>
      <c r="AL53" s="88">
        <f t="shared" si="24"/>
        <v>0</v>
      </c>
      <c r="AM53" s="97"/>
      <c r="AN53" s="88">
        <f t="shared" si="25"/>
        <v>0</v>
      </c>
      <c r="AO53" s="88"/>
      <c r="AP53" s="88"/>
      <c r="AQ53" s="88"/>
      <c r="AR53" s="88"/>
      <c r="AS53" s="89"/>
      <c r="AT53" s="88">
        <f t="shared" si="16"/>
        <v>0</v>
      </c>
      <c r="AU53" s="88"/>
      <c r="AV53" s="88"/>
      <c r="AW53" s="88">
        <f t="shared" si="17"/>
        <v>0</v>
      </c>
      <c r="AX53" s="88"/>
      <c r="AY53" s="88">
        <f t="shared" si="18"/>
        <v>0</v>
      </c>
      <c r="AZ53" s="84"/>
      <c r="BA53" s="88"/>
      <c r="BB53" s="88"/>
      <c r="BC53" s="88">
        <f t="shared" si="19"/>
        <v>0</v>
      </c>
      <c r="BD53" s="88"/>
      <c r="BE53" s="88"/>
      <c r="BF53" s="88"/>
      <c r="BG53" s="88"/>
      <c r="BH53" s="71"/>
      <c r="BI53" s="93"/>
      <c r="BJ53" s="88"/>
      <c r="BK53" s="94"/>
      <c r="BL53" s="88">
        <v>0</v>
      </c>
      <c r="BM53" s="88">
        <f t="shared" si="20"/>
        <v>37110.608999999997</v>
      </c>
      <c r="BO53" s="116">
        <v>3</v>
      </c>
    </row>
    <row r="54" spans="1:67" s="45" customFormat="1" ht="18" x14ac:dyDescent="0.35">
      <c r="A54" s="51"/>
      <c r="B54" s="70" t="s">
        <v>159</v>
      </c>
      <c r="C54" s="70" t="s">
        <v>369</v>
      </c>
      <c r="D54" s="70" t="s">
        <v>191</v>
      </c>
      <c r="E54" s="114">
        <v>11.9</v>
      </c>
      <c r="F54" s="70" t="s">
        <v>204</v>
      </c>
      <c r="G54" s="70" t="s">
        <v>39</v>
      </c>
      <c r="H54" s="51"/>
      <c r="I54" s="70" t="s">
        <v>198</v>
      </c>
      <c r="J54" s="71">
        <v>4.8600000000000003</v>
      </c>
      <c r="K54" s="81">
        <f t="shared" si="26"/>
        <v>172014.84000000003</v>
      </c>
      <c r="L54" s="53">
        <f t="shared" si="9"/>
        <v>19</v>
      </c>
      <c r="M54" s="70">
        <v>19</v>
      </c>
      <c r="N54" s="70"/>
      <c r="O54" s="70"/>
      <c r="P54" s="83">
        <f t="shared" si="10"/>
        <v>204267.62250000003</v>
      </c>
      <c r="Q54" s="83">
        <f t="shared" si="11"/>
        <v>0</v>
      </c>
      <c r="R54" s="83">
        <f t="shared" si="12"/>
        <v>0</v>
      </c>
      <c r="S54" s="68"/>
      <c r="T54" s="69"/>
      <c r="U54" s="69"/>
      <c r="V54" s="69"/>
      <c r="W54" s="69"/>
      <c r="X54" s="69"/>
      <c r="Y54" s="69"/>
      <c r="Z54" s="86">
        <f t="shared" si="0"/>
        <v>0</v>
      </c>
      <c r="AA54" s="85"/>
      <c r="AB54" s="83">
        <f t="shared" si="1"/>
        <v>0</v>
      </c>
      <c r="AC54" s="83">
        <v>19</v>
      </c>
      <c r="AD54" s="83">
        <f t="shared" si="13"/>
        <v>71493.667874999999</v>
      </c>
      <c r="AE54" s="133">
        <v>0</v>
      </c>
      <c r="AF54" s="132">
        <f t="shared" si="14"/>
        <v>0</v>
      </c>
      <c r="AG54" s="88">
        <v>11</v>
      </c>
      <c r="AH54" s="88">
        <f t="shared" si="23"/>
        <v>4866.6750000000002</v>
      </c>
      <c r="AI54" s="88"/>
      <c r="AJ54" s="88"/>
      <c r="AK54" s="88"/>
      <c r="AL54" s="88">
        <f t="shared" si="24"/>
        <v>0</v>
      </c>
      <c r="AM54" s="97"/>
      <c r="AN54" s="88">
        <f t="shared" si="25"/>
        <v>0</v>
      </c>
      <c r="AO54" s="88"/>
      <c r="AP54" s="88"/>
      <c r="AQ54" s="88"/>
      <c r="AR54" s="88"/>
      <c r="AS54" s="89">
        <v>18</v>
      </c>
      <c r="AT54" s="88">
        <f t="shared" si="16"/>
        <v>58055.008500000011</v>
      </c>
      <c r="AU54" s="88"/>
      <c r="AV54" s="88">
        <v>19</v>
      </c>
      <c r="AW54" s="88">
        <f t="shared" si="17"/>
        <v>8406.0750000000007</v>
      </c>
      <c r="AX54" s="88"/>
      <c r="AY54" s="88">
        <f t="shared" si="18"/>
        <v>0</v>
      </c>
      <c r="AZ54" s="84"/>
      <c r="BA54" s="88"/>
      <c r="BB54" s="88"/>
      <c r="BC54" s="88">
        <f t="shared" si="19"/>
        <v>0</v>
      </c>
      <c r="BD54" s="88" t="s">
        <v>338</v>
      </c>
      <c r="BE54" s="88">
        <v>8849</v>
      </c>
      <c r="BF54" s="88"/>
      <c r="BG54" s="88"/>
      <c r="BH54" s="71"/>
      <c r="BI54" s="91"/>
      <c r="BJ54" s="88"/>
      <c r="BK54" s="94"/>
      <c r="BL54" s="88">
        <f t="shared" si="8"/>
        <v>20426.762250000003</v>
      </c>
      <c r="BM54" s="88">
        <f t="shared" si="20"/>
        <v>376364.81112500007</v>
      </c>
      <c r="BO54" s="116">
        <v>19</v>
      </c>
    </row>
    <row r="55" spans="1:67" s="45" customFormat="1" ht="18" x14ac:dyDescent="0.35">
      <c r="A55" s="51"/>
      <c r="B55" s="70" t="s">
        <v>160</v>
      </c>
      <c r="C55" s="70" t="s">
        <v>369</v>
      </c>
      <c r="D55" s="70" t="s">
        <v>193</v>
      </c>
      <c r="E55" s="114">
        <v>27.1</v>
      </c>
      <c r="F55" s="70" t="s">
        <v>213</v>
      </c>
      <c r="G55" s="70" t="s">
        <v>1</v>
      </c>
      <c r="H55" s="51"/>
      <c r="I55" s="70" t="s">
        <v>199</v>
      </c>
      <c r="J55" s="71">
        <v>4.29</v>
      </c>
      <c r="K55" s="81">
        <f t="shared" si="26"/>
        <v>151840.26</v>
      </c>
      <c r="L55" s="53">
        <f t="shared" si="9"/>
        <v>24</v>
      </c>
      <c r="M55" s="70"/>
      <c r="N55" s="70">
        <v>12</v>
      </c>
      <c r="O55" s="70">
        <v>12</v>
      </c>
      <c r="P55" s="83">
        <f t="shared" si="10"/>
        <v>0</v>
      </c>
      <c r="Q55" s="83">
        <f t="shared" si="11"/>
        <v>113880.19500000001</v>
      </c>
      <c r="R55" s="83">
        <f t="shared" si="12"/>
        <v>113880.19500000001</v>
      </c>
      <c r="S55" s="68"/>
      <c r="T55" s="69"/>
      <c r="U55" s="69"/>
      <c r="V55" s="69"/>
      <c r="W55" s="69"/>
      <c r="X55" s="69"/>
      <c r="Y55" s="69"/>
      <c r="Z55" s="86">
        <f t="shared" si="0"/>
        <v>0</v>
      </c>
      <c r="AA55" s="85"/>
      <c r="AB55" s="83">
        <f t="shared" si="1"/>
        <v>0</v>
      </c>
      <c r="AC55" s="83"/>
      <c r="AD55" s="83">
        <f t="shared" si="13"/>
        <v>0</v>
      </c>
      <c r="AE55" s="133">
        <v>24</v>
      </c>
      <c r="AF55" s="132">
        <f t="shared" si="14"/>
        <v>68328.116999999998</v>
      </c>
      <c r="AG55" s="88"/>
      <c r="AH55" s="88">
        <f t="shared" si="23"/>
        <v>0</v>
      </c>
      <c r="AI55" s="88"/>
      <c r="AJ55" s="88"/>
      <c r="AK55" s="88"/>
      <c r="AL55" s="88">
        <f t="shared" si="24"/>
        <v>0</v>
      </c>
      <c r="AM55" s="97"/>
      <c r="AN55" s="88">
        <f t="shared" si="25"/>
        <v>0</v>
      </c>
      <c r="AO55" s="88"/>
      <c r="AP55" s="88"/>
      <c r="AQ55" s="88"/>
      <c r="AR55" s="88"/>
      <c r="AS55" s="89">
        <f t="shared" si="15"/>
        <v>24</v>
      </c>
      <c r="AT55" s="88">
        <f t="shared" si="16"/>
        <v>68328.116999999998</v>
      </c>
      <c r="AU55" s="88"/>
      <c r="AV55" s="88">
        <v>0</v>
      </c>
      <c r="AW55" s="88">
        <f t="shared" si="17"/>
        <v>0</v>
      </c>
      <c r="AX55" s="88"/>
      <c r="AY55" s="88">
        <f t="shared" si="18"/>
        <v>0</v>
      </c>
      <c r="AZ55" s="84"/>
      <c r="BA55" s="88"/>
      <c r="BB55" s="88"/>
      <c r="BC55" s="88">
        <f t="shared" si="19"/>
        <v>0</v>
      </c>
      <c r="BD55" s="88"/>
      <c r="BE55" s="88"/>
      <c r="BF55" s="88"/>
      <c r="BG55" s="88"/>
      <c r="BH55" s="71"/>
      <c r="BI55" s="91"/>
      <c r="BJ55" s="88"/>
      <c r="BK55" s="102"/>
      <c r="BL55" s="88">
        <f t="shared" si="8"/>
        <v>22776.039000000004</v>
      </c>
      <c r="BM55" s="88">
        <f t="shared" si="20"/>
        <v>387192.66299999994</v>
      </c>
      <c r="BO55" s="116">
        <v>24</v>
      </c>
    </row>
    <row r="56" spans="1:67" s="45" customFormat="1" ht="18" x14ac:dyDescent="0.35">
      <c r="A56" s="51"/>
      <c r="B56" s="70" t="s">
        <v>161</v>
      </c>
      <c r="C56" s="70" t="s">
        <v>370</v>
      </c>
      <c r="D56" s="70" t="s">
        <v>191</v>
      </c>
      <c r="E56" s="114">
        <v>30.2</v>
      </c>
      <c r="F56" s="70" t="s">
        <v>216</v>
      </c>
      <c r="G56" s="70" t="s">
        <v>39</v>
      </c>
      <c r="H56" s="51"/>
      <c r="I56" s="70" t="s">
        <v>198</v>
      </c>
      <c r="J56" s="71">
        <v>5.2</v>
      </c>
      <c r="K56" s="81">
        <f t="shared" si="26"/>
        <v>184048.80000000002</v>
      </c>
      <c r="L56" s="53">
        <f t="shared" si="9"/>
        <v>12</v>
      </c>
      <c r="M56" s="70"/>
      <c r="N56" s="70">
        <v>12</v>
      </c>
      <c r="O56" s="70"/>
      <c r="P56" s="83">
        <f t="shared" si="10"/>
        <v>0</v>
      </c>
      <c r="Q56" s="83">
        <f t="shared" si="11"/>
        <v>138036.6</v>
      </c>
      <c r="R56" s="83">
        <f t="shared" si="12"/>
        <v>0</v>
      </c>
      <c r="S56" s="68"/>
      <c r="T56" s="69"/>
      <c r="U56" s="69"/>
      <c r="V56" s="69"/>
      <c r="W56" s="69"/>
      <c r="X56" s="69"/>
      <c r="Y56" s="69"/>
      <c r="Z56" s="86">
        <f t="shared" si="0"/>
        <v>0</v>
      </c>
      <c r="AA56" s="85"/>
      <c r="AB56" s="83">
        <f t="shared" si="1"/>
        <v>0</v>
      </c>
      <c r="AC56" s="83">
        <v>12</v>
      </c>
      <c r="AD56" s="83">
        <f t="shared" si="13"/>
        <v>48312.81</v>
      </c>
      <c r="AE56" s="133"/>
      <c r="AF56" s="132">
        <f t="shared" si="14"/>
        <v>0</v>
      </c>
      <c r="AG56" s="88"/>
      <c r="AH56" s="88">
        <f t="shared" si="23"/>
        <v>0</v>
      </c>
      <c r="AI56" s="88"/>
      <c r="AJ56" s="88"/>
      <c r="AK56" s="88"/>
      <c r="AL56" s="88">
        <f t="shared" si="24"/>
        <v>0</v>
      </c>
      <c r="AM56" s="97"/>
      <c r="AN56" s="88">
        <f t="shared" si="25"/>
        <v>0</v>
      </c>
      <c r="AO56" s="88"/>
      <c r="AP56" s="88"/>
      <c r="AQ56" s="88"/>
      <c r="AR56" s="88"/>
      <c r="AS56" s="89">
        <f t="shared" si="15"/>
        <v>12</v>
      </c>
      <c r="AT56" s="88">
        <f t="shared" si="16"/>
        <v>41410.980000000003</v>
      </c>
      <c r="AU56" s="88"/>
      <c r="AV56" s="88"/>
      <c r="AW56" s="88">
        <f t="shared" si="17"/>
        <v>0</v>
      </c>
      <c r="AX56" s="88"/>
      <c r="AY56" s="88">
        <f t="shared" si="18"/>
        <v>0</v>
      </c>
      <c r="AZ56" s="84"/>
      <c r="BA56" s="88"/>
      <c r="BB56" s="88"/>
      <c r="BC56" s="88">
        <f t="shared" si="19"/>
        <v>0</v>
      </c>
      <c r="BD56" s="88" t="s">
        <v>356</v>
      </c>
      <c r="BE56" s="88"/>
      <c r="BF56" s="88">
        <v>10618</v>
      </c>
      <c r="BG56" s="88"/>
      <c r="BH56" s="71"/>
      <c r="BI56" s="91"/>
      <c r="BJ56" s="88"/>
      <c r="BK56" s="94"/>
      <c r="BL56" s="88">
        <f t="shared" si="8"/>
        <v>13803.660000000002</v>
      </c>
      <c r="BM56" s="88">
        <f t="shared" si="20"/>
        <v>252182.05000000002</v>
      </c>
      <c r="BO56" s="116">
        <v>12</v>
      </c>
    </row>
    <row r="57" spans="1:67" s="45" customFormat="1" ht="18" x14ac:dyDescent="0.35">
      <c r="A57" s="51"/>
      <c r="B57" s="70" t="s">
        <v>286</v>
      </c>
      <c r="C57" s="70" t="s">
        <v>369</v>
      </c>
      <c r="D57" s="70" t="s">
        <v>191</v>
      </c>
      <c r="E57" s="114">
        <v>33</v>
      </c>
      <c r="F57" s="70" t="s">
        <v>215</v>
      </c>
      <c r="G57" s="70" t="s">
        <v>195</v>
      </c>
      <c r="H57" s="51"/>
      <c r="I57" s="70" t="s">
        <v>200</v>
      </c>
      <c r="J57" s="71">
        <v>5.41</v>
      </c>
      <c r="K57" s="81">
        <f t="shared" si="26"/>
        <v>191481.54</v>
      </c>
      <c r="L57" s="53">
        <f t="shared" si="9"/>
        <v>12</v>
      </c>
      <c r="M57" s="70"/>
      <c r="N57" s="70">
        <v>12</v>
      </c>
      <c r="O57" s="70"/>
      <c r="P57" s="83">
        <f t="shared" si="10"/>
        <v>0</v>
      </c>
      <c r="Q57" s="83">
        <f t="shared" si="11"/>
        <v>143611.155</v>
      </c>
      <c r="R57" s="83">
        <f t="shared" si="12"/>
        <v>0</v>
      </c>
      <c r="S57" s="68"/>
      <c r="T57" s="69"/>
      <c r="U57" s="69"/>
      <c r="V57" s="69"/>
      <c r="W57" s="69"/>
      <c r="X57" s="69"/>
      <c r="Y57" s="86">
        <v>12</v>
      </c>
      <c r="Z57" s="86">
        <f>K57/16*Y57*50%</f>
        <v>71805.577499999999</v>
      </c>
      <c r="AA57" s="85"/>
      <c r="AB57" s="83">
        <f t="shared" si="1"/>
        <v>0</v>
      </c>
      <c r="AC57" s="83"/>
      <c r="AD57" s="83">
        <f t="shared" si="13"/>
        <v>0</v>
      </c>
      <c r="AE57" s="133"/>
      <c r="AF57" s="132">
        <f t="shared" si="14"/>
        <v>0</v>
      </c>
      <c r="AG57" s="88"/>
      <c r="AH57" s="88">
        <f t="shared" si="23"/>
        <v>0</v>
      </c>
      <c r="AI57" s="88"/>
      <c r="AJ57" s="88"/>
      <c r="AK57" s="88"/>
      <c r="AL57" s="88">
        <f t="shared" si="24"/>
        <v>0</v>
      </c>
      <c r="AM57" s="97"/>
      <c r="AN57" s="88">
        <f t="shared" si="25"/>
        <v>0</v>
      </c>
      <c r="AO57" s="88"/>
      <c r="AP57" s="88"/>
      <c r="AQ57" s="88"/>
      <c r="AR57" s="88"/>
      <c r="AS57" s="89">
        <f t="shared" si="15"/>
        <v>12</v>
      </c>
      <c r="AT57" s="88">
        <f t="shared" si="16"/>
        <v>43083.3465</v>
      </c>
      <c r="AU57" s="88"/>
      <c r="AV57" s="88">
        <v>6</v>
      </c>
      <c r="AW57" s="88">
        <f t="shared" si="17"/>
        <v>2654.55</v>
      </c>
      <c r="AX57" s="88"/>
      <c r="AY57" s="88">
        <f t="shared" si="18"/>
        <v>0</v>
      </c>
      <c r="AZ57" s="84"/>
      <c r="BA57" s="88"/>
      <c r="BB57" s="88"/>
      <c r="BC57" s="88">
        <f t="shared" si="19"/>
        <v>0</v>
      </c>
      <c r="BD57" s="88"/>
      <c r="BE57" s="88"/>
      <c r="BF57" s="88"/>
      <c r="BG57" s="88"/>
      <c r="BH57" s="71"/>
      <c r="BI57" s="91"/>
      <c r="BJ57" s="88"/>
      <c r="BK57" s="94"/>
      <c r="BL57" s="88">
        <f t="shared" si="8"/>
        <v>14361.1155</v>
      </c>
      <c r="BM57" s="88">
        <f t="shared" si="20"/>
        <v>275515.74449999997</v>
      </c>
      <c r="BO57" s="116">
        <v>12</v>
      </c>
    </row>
    <row r="58" spans="1:67" s="45" customFormat="1" ht="18" x14ac:dyDescent="0.35">
      <c r="A58" s="51"/>
      <c r="B58" s="70" t="s">
        <v>162</v>
      </c>
      <c r="C58" s="70" t="s">
        <v>369</v>
      </c>
      <c r="D58" s="70" t="s">
        <v>193</v>
      </c>
      <c r="E58" s="114">
        <v>40.799999999999997</v>
      </c>
      <c r="F58" s="70" t="s">
        <v>204</v>
      </c>
      <c r="G58" s="70" t="s">
        <v>39</v>
      </c>
      <c r="H58" s="51"/>
      <c r="I58" s="70" t="s">
        <v>202</v>
      </c>
      <c r="J58" s="71">
        <v>4.3899999999999997</v>
      </c>
      <c r="K58" s="81">
        <f t="shared" si="26"/>
        <v>155379.65999999997</v>
      </c>
      <c r="L58" s="53">
        <f t="shared" si="9"/>
        <v>20</v>
      </c>
      <c r="M58" s="70">
        <v>20</v>
      </c>
      <c r="N58" s="70"/>
      <c r="O58" s="70"/>
      <c r="P58" s="83">
        <f t="shared" si="10"/>
        <v>194224.57499999995</v>
      </c>
      <c r="Q58" s="83">
        <f t="shared" si="11"/>
        <v>0</v>
      </c>
      <c r="R58" s="83">
        <f t="shared" si="12"/>
        <v>0</v>
      </c>
      <c r="S58" s="68"/>
      <c r="T58" s="69"/>
      <c r="U58" s="69"/>
      <c r="V58" s="69"/>
      <c r="W58" s="69"/>
      <c r="X58" s="69"/>
      <c r="Y58" s="69"/>
      <c r="Z58" s="86">
        <f t="shared" ref="Z58:Z92" si="27">K58/16*Y58*50%</f>
        <v>0</v>
      </c>
      <c r="AA58" s="85"/>
      <c r="AB58" s="83">
        <f t="shared" si="1"/>
        <v>0</v>
      </c>
      <c r="AC58" s="83">
        <v>20</v>
      </c>
      <c r="AD58" s="83">
        <f t="shared" si="13"/>
        <v>67978.601249999978</v>
      </c>
      <c r="AE58" s="133"/>
      <c r="AF58" s="132">
        <f t="shared" si="14"/>
        <v>0</v>
      </c>
      <c r="AG58" s="88">
        <v>12</v>
      </c>
      <c r="AH58" s="88">
        <f t="shared" si="23"/>
        <v>5309.1</v>
      </c>
      <c r="AI58" s="88"/>
      <c r="AJ58" s="88"/>
      <c r="AK58" s="88"/>
      <c r="AL58" s="88">
        <f t="shared" si="24"/>
        <v>0</v>
      </c>
      <c r="AM58" s="97"/>
      <c r="AN58" s="88">
        <f t="shared" si="25"/>
        <v>0</v>
      </c>
      <c r="AO58" s="88"/>
      <c r="AP58" s="88"/>
      <c r="AQ58" s="88"/>
      <c r="AR58" s="88"/>
      <c r="AS58" s="89">
        <v>19</v>
      </c>
      <c r="AT58" s="88">
        <f t="shared" si="16"/>
        <v>55354.003874999988</v>
      </c>
      <c r="AU58" s="88"/>
      <c r="AV58" s="88">
        <v>0</v>
      </c>
      <c r="AW58" s="88">
        <f t="shared" si="17"/>
        <v>0</v>
      </c>
      <c r="AX58" s="88"/>
      <c r="AY58" s="88">
        <f t="shared" si="18"/>
        <v>0</v>
      </c>
      <c r="AZ58" s="84"/>
      <c r="BA58" s="88"/>
      <c r="BB58" s="88"/>
      <c r="BC58" s="88">
        <f t="shared" si="19"/>
        <v>0</v>
      </c>
      <c r="BD58" s="88" t="s">
        <v>339</v>
      </c>
      <c r="BE58" s="88">
        <v>8849</v>
      </c>
      <c r="BF58" s="88"/>
      <c r="BG58" s="88"/>
      <c r="BH58" s="71"/>
      <c r="BI58" s="91"/>
      <c r="BJ58" s="88"/>
      <c r="BK58" s="94"/>
      <c r="BL58" s="88">
        <f t="shared" si="8"/>
        <v>19422.457499999997</v>
      </c>
      <c r="BM58" s="88">
        <f t="shared" si="20"/>
        <v>351137.73762499989</v>
      </c>
      <c r="BO58" s="116">
        <v>20</v>
      </c>
    </row>
    <row r="59" spans="1:67" s="45" customFormat="1" ht="18" x14ac:dyDescent="0.35">
      <c r="A59" s="51"/>
      <c r="B59" s="70" t="s">
        <v>163</v>
      </c>
      <c r="C59" s="70" t="s">
        <v>369</v>
      </c>
      <c r="D59" s="70" t="s">
        <v>191</v>
      </c>
      <c r="E59" s="114">
        <v>41.4</v>
      </c>
      <c r="F59" s="70" t="s">
        <v>216</v>
      </c>
      <c r="G59" s="70" t="s">
        <v>1</v>
      </c>
      <c r="H59" s="51"/>
      <c r="I59" s="70" t="s">
        <v>196</v>
      </c>
      <c r="J59" s="73">
        <v>5.16</v>
      </c>
      <c r="K59" s="81">
        <f t="shared" si="26"/>
        <v>182633.04</v>
      </c>
      <c r="L59" s="53">
        <f t="shared" si="9"/>
        <v>24</v>
      </c>
      <c r="M59" s="70">
        <v>2</v>
      </c>
      <c r="N59" s="70">
        <v>22</v>
      </c>
      <c r="O59" s="70"/>
      <c r="P59" s="83">
        <f t="shared" si="10"/>
        <v>22829.13</v>
      </c>
      <c r="Q59" s="83">
        <f t="shared" si="11"/>
        <v>251120.43000000002</v>
      </c>
      <c r="R59" s="83">
        <f t="shared" si="12"/>
        <v>0</v>
      </c>
      <c r="S59" s="68"/>
      <c r="T59" s="69"/>
      <c r="U59" s="69"/>
      <c r="V59" s="69"/>
      <c r="W59" s="69"/>
      <c r="X59" s="69"/>
      <c r="Y59" s="69"/>
      <c r="Z59" s="86">
        <f t="shared" si="27"/>
        <v>0</v>
      </c>
      <c r="AA59" s="85"/>
      <c r="AB59" s="83">
        <f t="shared" si="1"/>
        <v>0</v>
      </c>
      <c r="AC59" s="83"/>
      <c r="AD59" s="83">
        <f t="shared" si="13"/>
        <v>0</v>
      </c>
      <c r="AE59" s="133">
        <v>24</v>
      </c>
      <c r="AF59" s="132">
        <f t="shared" si="14"/>
        <v>82184.868000000002</v>
      </c>
      <c r="AG59" s="88"/>
      <c r="AH59" s="88">
        <f t="shared" si="23"/>
        <v>0</v>
      </c>
      <c r="AI59" s="88"/>
      <c r="AJ59" s="88"/>
      <c r="AK59" s="88"/>
      <c r="AL59" s="88">
        <f t="shared" si="24"/>
        <v>0</v>
      </c>
      <c r="AM59" s="97"/>
      <c r="AN59" s="88">
        <f t="shared" si="25"/>
        <v>0</v>
      </c>
      <c r="AO59" s="88"/>
      <c r="AP59" s="88"/>
      <c r="AQ59" s="88"/>
      <c r="AR59" s="88"/>
      <c r="AS59" s="89">
        <f t="shared" si="15"/>
        <v>24</v>
      </c>
      <c r="AT59" s="88">
        <f t="shared" si="16"/>
        <v>82184.868000000002</v>
      </c>
      <c r="AU59" s="88"/>
      <c r="AV59" s="88">
        <v>4</v>
      </c>
      <c r="AW59" s="88">
        <f t="shared" si="17"/>
        <v>1769.7</v>
      </c>
      <c r="AX59" s="88"/>
      <c r="AY59" s="88">
        <f t="shared" si="18"/>
        <v>0</v>
      </c>
      <c r="AZ59" s="84"/>
      <c r="BA59" s="88"/>
      <c r="BB59" s="88"/>
      <c r="BC59" s="88">
        <f t="shared" si="19"/>
        <v>0</v>
      </c>
      <c r="BD59" s="88" t="s">
        <v>357</v>
      </c>
      <c r="BE59" s="88"/>
      <c r="BF59" s="88">
        <v>10618</v>
      </c>
      <c r="BG59" s="88"/>
      <c r="BH59" s="71"/>
      <c r="BI59" s="91"/>
      <c r="BJ59" s="88"/>
      <c r="BK59" s="94"/>
      <c r="BL59" s="88">
        <f t="shared" si="8"/>
        <v>27394.956000000002</v>
      </c>
      <c r="BM59" s="88">
        <f t="shared" si="20"/>
        <v>478101.95200000005</v>
      </c>
      <c r="BO59" s="116">
        <v>24</v>
      </c>
    </row>
    <row r="60" spans="1:67" s="45" customFormat="1" ht="18" x14ac:dyDescent="0.35">
      <c r="A60" s="51"/>
      <c r="B60" s="70" t="s">
        <v>164</v>
      </c>
      <c r="C60" s="70" t="s">
        <v>369</v>
      </c>
      <c r="D60" s="70" t="s">
        <v>191</v>
      </c>
      <c r="E60" s="114">
        <v>0</v>
      </c>
      <c r="F60" s="70" t="s">
        <v>206</v>
      </c>
      <c r="G60" s="70" t="s">
        <v>194</v>
      </c>
      <c r="H60" s="51"/>
      <c r="I60" s="70" t="s">
        <v>197</v>
      </c>
      <c r="J60" s="73">
        <v>4.0999999999999996</v>
      </c>
      <c r="K60" s="81">
        <f t="shared" si="26"/>
        <v>145115.4</v>
      </c>
      <c r="L60" s="53">
        <f t="shared" si="9"/>
        <v>15</v>
      </c>
      <c r="M60" s="70"/>
      <c r="N60" s="70">
        <v>15</v>
      </c>
      <c r="O60" s="70"/>
      <c r="P60" s="83">
        <f t="shared" si="10"/>
        <v>0</v>
      </c>
      <c r="Q60" s="83">
        <f t="shared" si="11"/>
        <v>136045.6875</v>
      </c>
      <c r="R60" s="83">
        <f t="shared" si="12"/>
        <v>0</v>
      </c>
      <c r="S60" s="68"/>
      <c r="T60" s="69"/>
      <c r="U60" s="69"/>
      <c r="V60" s="69"/>
      <c r="W60" s="69"/>
      <c r="X60" s="69"/>
      <c r="Y60" s="69"/>
      <c r="Z60" s="86">
        <f t="shared" si="27"/>
        <v>0</v>
      </c>
      <c r="AA60" s="85"/>
      <c r="AB60" s="83">
        <f t="shared" si="1"/>
        <v>0</v>
      </c>
      <c r="AC60" s="83"/>
      <c r="AD60" s="83">
        <f t="shared" si="13"/>
        <v>0</v>
      </c>
      <c r="AE60" s="133"/>
      <c r="AF60" s="132">
        <f t="shared" si="14"/>
        <v>0</v>
      </c>
      <c r="AG60" s="88"/>
      <c r="AH60" s="88">
        <f t="shared" si="23"/>
        <v>0</v>
      </c>
      <c r="AI60" s="88"/>
      <c r="AJ60" s="88"/>
      <c r="AK60" s="88">
        <v>15</v>
      </c>
      <c r="AL60" s="88">
        <f t="shared" si="24"/>
        <v>8295.46875</v>
      </c>
      <c r="AM60" s="97"/>
      <c r="AN60" s="88">
        <f t="shared" si="25"/>
        <v>0</v>
      </c>
      <c r="AO60" s="88"/>
      <c r="AP60" s="88"/>
      <c r="AQ60" s="88"/>
      <c r="AR60" s="88"/>
      <c r="AS60" s="89">
        <f t="shared" si="15"/>
        <v>15</v>
      </c>
      <c r="AT60" s="88">
        <f t="shared" si="16"/>
        <v>40813.706249999996</v>
      </c>
      <c r="AU60" s="88"/>
      <c r="AV60" s="88">
        <v>5</v>
      </c>
      <c r="AW60" s="88">
        <f t="shared" si="17"/>
        <v>2212.125</v>
      </c>
      <c r="AX60" s="88"/>
      <c r="AY60" s="88">
        <f t="shared" si="18"/>
        <v>0</v>
      </c>
      <c r="AZ60" s="84"/>
      <c r="BA60" s="88"/>
      <c r="BB60" s="88"/>
      <c r="BC60" s="88">
        <f t="shared" si="19"/>
        <v>0</v>
      </c>
      <c r="BD60" s="88"/>
      <c r="BE60" s="88"/>
      <c r="BF60" s="88"/>
      <c r="BG60" s="88"/>
      <c r="BH60" s="71"/>
      <c r="BI60" s="91"/>
      <c r="BJ60" s="88"/>
      <c r="BK60" s="94"/>
      <c r="BL60" s="88">
        <f t="shared" si="8"/>
        <v>13604.56875</v>
      </c>
      <c r="BM60" s="88">
        <f t="shared" si="20"/>
        <v>200971.55624999999</v>
      </c>
      <c r="BO60" s="116">
        <v>15</v>
      </c>
    </row>
    <row r="61" spans="1:67" s="45" customFormat="1" ht="18" x14ac:dyDescent="0.35">
      <c r="A61" s="51"/>
      <c r="B61" s="70" t="s">
        <v>165</v>
      </c>
      <c r="C61" s="70" t="s">
        <v>369</v>
      </c>
      <c r="D61" s="70" t="s">
        <v>191</v>
      </c>
      <c r="E61" s="114">
        <v>31</v>
      </c>
      <c r="F61" s="70" t="s">
        <v>206</v>
      </c>
      <c r="G61" s="70" t="s">
        <v>37</v>
      </c>
      <c r="H61" s="51"/>
      <c r="I61" s="70" t="s">
        <v>200</v>
      </c>
      <c r="J61" s="71">
        <v>5.41</v>
      </c>
      <c r="K61" s="81">
        <f t="shared" si="26"/>
        <v>191481.54</v>
      </c>
      <c r="L61" s="53">
        <f t="shared" si="9"/>
        <v>24</v>
      </c>
      <c r="M61" s="70"/>
      <c r="N61" s="70">
        <v>20</v>
      </c>
      <c r="O61" s="70">
        <v>4</v>
      </c>
      <c r="P61" s="83">
        <f t="shared" si="10"/>
        <v>0</v>
      </c>
      <c r="Q61" s="83">
        <f t="shared" si="11"/>
        <v>239351.92500000002</v>
      </c>
      <c r="R61" s="83">
        <f t="shared" si="12"/>
        <v>47870.385000000002</v>
      </c>
      <c r="S61" s="68"/>
      <c r="T61" s="69"/>
      <c r="U61" s="69"/>
      <c r="V61" s="69"/>
      <c r="W61" s="69"/>
      <c r="X61" s="69"/>
      <c r="Y61" s="69"/>
      <c r="Z61" s="86">
        <f t="shared" si="27"/>
        <v>0</v>
      </c>
      <c r="AA61" s="85">
        <v>24</v>
      </c>
      <c r="AB61" s="83">
        <f t="shared" si="1"/>
        <v>114888.924</v>
      </c>
      <c r="AC61" s="83"/>
      <c r="AD61" s="83">
        <f t="shared" si="13"/>
        <v>0</v>
      </c>
      <c r="AE61" s="134"/>
      <c r="AF61" s="132">
        <f t="shared" si="14"/>
        <v>0</v>
      </c>
      <c r="AG61" s="88"/>
      <c r="AH61" s="88">
        <f t="shared" si="23"/>
        <v>0</v>
      </c>
      <c r="AI61" s="88"/>
      <c r="AJ61" s="88"/>
      <c r="AK61" s="88">
        <v>24</v>
      </c>
      <c r="AL61" s="88">
        <f t="shared" si="24"/>
        <v>13272.75</v>
      </c>
      <c r="AM61" s="97"/>
      <c r="AN61" s="88">
        <f t="shared" si="25"/>
        <v>0</v>
      </c>
      <c r="AO61" s="88"/>
      <c r="AP61" s="88"/>
      <c r="AQ61" s="88"/>
      <c r="AR61" s="88"/>
      <c r="AS61" s="89">
        <f t="shared" si="15"/>
        <v>24</v>
      </c>
      <c r="AT61" s="88">
        <f t="shared" si="16"/>
        <v>86166.692999999999</v>
      </c>
      <c r="AU61" s="88"/>
      <c r="AV61" s="88">
        <v>10</v>
      </c>
      <c r="AW61" s="88">
        <f t="shared" si="17"/>
        <v>4424.25</v>
      </c>
      <c r="AX61" s="88"/>
      <c r="AY61" s="88">
        <f t="shared" si="18"/>
        <v>0</v>
      </c>
      <c r="AZ61" s="84"/>
      <c r="BA61" s="88"/>
      <c r="BB61" s="88"/>
      <c r="BC61" s="88">
        <f t="shared" si="19"/>
        <v>0</v>
      </c>
      <c r="BD61" s="88" t="s">
        <v>358</v>
      </c>
      <c r="BE61" s="88"/>
      <c r="BF61" s="88">
        <v>10618</v>
      </c>
      <c r="BG61" s="88"/>
      <c r="BH61" s="71"/>
      <c r="BI61" s="91"/>
      <c r="BJ61" s="88"/>
      <c r="BK61" s="94"/>
      <c r="BL61" s="88">
        <f t="shared" si="8"/>
        <v>28722.231</v>
      </c>
      <c r="BM61" s="88">
        <f t="shared" si="20"/>
        <v>545315.15800000005</v>
      </c>
      <c r="BO61" s="116">
        <v>24</v>
      </c>
    </row>
    <row r="62" spans="1:67" s="45" customFormat="1" ht="18" x14ac:dyDescent="0.35">
      <c r="A62" s="51"/>
      <c r="B62" s="70" t="s">
        <v>282</v>
      </c>
      <c r="C62" s="70" t="s">
        <v>369</v>
      </c>
      <c r="D62" s="70" t="s">
        <v>191</v>
      </c>
      <c r="E62" s="114">
        <v>31</v>
      </c>
      <c r="F62" s="70" t="s">
        <v>206</v>
      </c>
      <c r="G62" s="70" t="s">
        <v>37</v>
      </c>
      <c r="H62" s="51"/>
      <c r="I62" s="70" t="s">
        <v>200</v>
      </c>
      <c r="J62" s="71">
        <v>5.41</v>
      </c>
      <c r="K62" s="81">
        <f t="shared" si="26"/>
        <v>191481.54</v>
      </c>
      <c r="L62" s="53">
        <f t="shared" si="9"/>
        <v>5</v>
      </c>
      <c r="M62" s="70"/>
      <c r="N62" s="70">
        <v>5</v>
      </c>
      <c r="O62" s="70"/>
      <c r="P62" s="83">
        <f t="shared" si="10"/>
        <v>0</v>
      </c>
      <c r="Q62" s="83">
        <f t="shared" si="11"/>
        <v>59837.981250000004</v>
      </c>
      <c r="R62" s="83">
        <f t="shared" si="12"/>
        <v>0</v>
      </c>
      <c r="S62" s="68"/>
      <c r="T62" s="69"/>
      <c r="U62" s="69"/>
      <c r="V62" s="69"/>
      <c r="W62" s="69"/>
      <c r="X62" s="69"/>
      <c r="Y62" s="69"/>
      <c r="Z62" s="86">
        <f t="shared" si="27"/>
        <v>0</v>
      </c>
      <c r="AA62" s="85">
        <v>5</v>
      </c>
      <c r="AB62" s="83">
        <f t="shared" si="1"/>
        <v>23935.192500000005</v>
      </c>
      <c r="AC62" s="83"/>
      <c r="AD62" s="83">
        <f t="shared" si="13"/>
        <v>0</v>
      </c>
      <c r="AE62" s="134"/>
      <c r="AF62" s="132">
        <f t="shared" si="14"/>
        <v>0</v>
      </c>
      <c r="AG62" s="88"/>
      <c r="AH62" s="88">
        <f t="shared" si="23"/>
        <v>0</v>
      </c>
      <c r="AI62" s="88"/>
      <c r="AJ62" s="88"/>
      <c r="AK62" s="88">
        <v>5</v>
      </c>
      <c r="AL62" s="88">
        <f t="shared" si="24"/>
        <v>2765.15625</v>
      </c>
      <c r="AM62" s="97"/>
      <c r="AN62" s="88">
        <f t="shared" si="25"/>
        <v>0</v>
      </c>
      <c r="AO62" s="88"/>
      <c r="AP62" s="88"/>
      <c r="AQ62" s="88"/>
      <c r="AR62" s="88"/>
      <c r="AS62" s="89">
        <f t="shared" si="15"/>
        <v>5</v>
      </c>
      <c r="AT62" s="88">
        <f t="shared" si="16"/>
        <v>17951.394375</v>
      </c>
      <c r="AU62" s="88"/>
      <c r="AV62" s="88"/>
      <c r="AW62" s="88">
        <f t="shared" si="17"/>
        <v>0</v>
      </c>
      <c r="AX62" s="88"/>
      <c r="AY62" s="88">
        <f t="shared" si="18"/>
        <v>0</v>
      </c>
      <c r="AZ62" s="84"/>
      <c r="BA62" s="88"/>
      <c r="BB62" s="88"/>
      <c r="BC62" s="88">
        <f t="shared" si="19"/>
        <v>0</v>
      </c>
      <c r="BD62" s="88"/>
      <c r="BE62" s="88"/>
      <c r="BF62" s="88"/>
      <c r="BG62" s="88"/>
      <c r="BH62" s="71"/>
      <c r="BI62" s="91"/>
      <c r="BJ62" s="88"/>
      <c r="BK62" s="94"/>
      <c r="BL62" s="88">
        <v>0</v>
      </c>
      <c r="BM62" s="88">
        <f t="shared" si="20"/>
        <v>104489.72437500002</v>
      </c>
      <c r="BO62" s="116">
        <v>5</v>
      </c>
    </row>
    <row r="63" spans="1:67" s="45" customFormat="1" ht="18" x14ac:dyDescent="0.35">
      <c r="A63" s="51"/>
      <c r="B63" s="70" t="s">
        <v>166</v>
      </c>
      <c r="C63" s="70" t="s">
        <v>369</v>
      </c>
      <c r="D63" s="70" t="s">
        <v>191</v>
      </c>
      <c r="E63" s="109">
        <v>8.8000000000000007</v>
      </c>
      <c r="F63" s="70" t="s">
        <v>208</v>
      </c>
      <c r="G63" s="70" t="s">
        <v>1</v>
      </c>
      <c r="H63" s="51"/>
      <c r="I63" s="70" t="s">
        <v>196</v>
      </c>
      <c r="J63" s="73">
        <v>4.74</v>
      </c>
      <c r="K63" s="81">
        <f t="shared" si="26"/>
        <v>167767.56</v>
      </c>
      <c r="L63" s="53">
        <f t="shared" si="9"/>
        <v>21</v>
      </c>
      <c r="M63" s="70"/>
      <c r="N63" s="70">
        <v>18</v>
      </c>
      <c r="O63" s="70">
        <v>3</v>
      </c>
      <c r="P63" s="83">
        <f t="shared" si="10"/>
        <v>0</v>
      </c>
      <c r="Q63" s="83">
        <f t="shared" si="11"/>
        <v>188738.505</v>
      </c>
      <c r="R63" s="83">
        <f t="shared" si="12"/>
        <v>31456.4175</v>
      </c>
      <c r="S63" s="68"/>
      <c r="T63" s="69"/>
      <c r="U63" s="69"/>
      <c r="V63" s="69"/>
      <c r="W63" s="69"/>
      <c r="X63" s="69"/>
      <c r="Y63" s="69"/>
      <c r="Z63" s="86">
        <f t="shared" si="27"/>
        <v>0</v>
      </c>
      <c r="AA63" s="85"/>
      <c r="AB63" s="83">
        <f t="shared" si="1"/>
        <v>0</v>
      </c>
      <c r="AC63" s="83"/>
      <c r="AD63" s="83">
        <f t="shared" si="13"/>
        <v>0</v>
      </c>
      <c r="AE63" s="133">
        <v>23</v>
      </c>
      <c r="AF63" s="132">
        <f t="shared" si="14"/>
        <v>72349.760249999992</v>
      </c>
      <c r="AG63" s="88">
        <v>0</v>
      </c>
      <c r="AH63" s="88">
        <f t="shared" si="23"/>
        <v>0</v>
      </c>
      <c r="AI63" s="88"/>
      <c r="AJ63" s="88"/>
      <c r="AK63" s="88">
        <v>8</v>
      </c>
      <c r="AL63" s="88">
        <f t="shared" si="24"/>
        <v>4424.25</v>
      </c>
      <c r="AM63" s="97">
        <v>7.5</v>
      </c>
      <c r="AN63" s="88">
        <f t="shared" si="25"/>
        <v>1659.09375</v>
      </c>
      <c r="AO63" s="88"/>
      <c r="AP63" s="88"/>
      <c r="AQ63" s="88"/>
      <c r="AR63" s="88"/>
      <c r="AS63" s="89">
        <v>21</v>
      </c>
      <c r="AT63" s="88">
        <f t="shared" si="16"/>
        <v>66058.476749999987</v>
      </c>
      <c r="AU63" s="88"/>
      <c r="AV63" s="88">
        <v>0</v>
      </c>
      <c r="AW63" s="88">
        <f t="shared" si="17"/>
        <v>0</v>
      </c>
      <c r="AX63" s="88">
        <v>2</v>
      </c>
      <c r="AY63" s="88">
        <f t="shared" si="18"/>
        <v>884.85</v>
      </c>
      <c r="AZ63" s="84"/>
      <c r="BA63" s="88">
        <v>2</v>
      </c>
      <c r="BB63" s="88"/>
      <c r="BC63" s="88">
        <f t="shared" si="19"/>
        <v>20970.945</v>
      </c>
      <c r="BD63" s="88"/>
      <c r="BE63" s="88"/>
      <c r="BF63" s="88"/>
      <c r="BG63" s="88"/>
      <c r="BH63" s="71"/>
      <c r="BI63" s="91"/>
      <c r="BJ63" s="88"/>
      <c r="BK63" s="94"/>
      <c r="BL63" s="88">
        <f t="shared" si="8"/>
        <v>22019.492250000003</v>
      </c>
      <c r="BM63" s="88">
        <f t="shared" si="20"/>
        <v>408561.7905</v>
      </c>
      <c r="BO63" s="116">
        <v>21</v>
      </c>
    </row>
    <row r="64" spans="1:67" s="45" customFormat="1" ht="18" x14ac:dyDescent="0.35">
      <c r="A64" s="51"/>
      <c r="B64" s="70" t="s">
        <v>167</v>
      </c>
      <c r="C64" s="70" t="s">
        <v>369</v>
      </c>
      <c r="D64" s="70" t="s">
        <v>191</v>
      </c>
      <c r="E64" s="113">
        <v>4</v>
      </c>
      <c r="F64" s="70" t="s">
        <v>207</v>
      </c>
      <c r="G64" s="70" t="s">
        <v>194</v>
      </c>
      <c r="H64" s="51"/>
      <c r="I64" s="70" t="s">
        <v>197</v>
      </c>
      <c r="J64" s="71">
        <v>4.2300000000000004</v>
      </c>
      <c r="K64" s="81">
        <f t="shared" si="26"/>
        <v>149716.62000000002</v>
      </c>
      <c r="L64" s="53">
        <f t="shared" si="9"/>
        <v>22</v>
      </c>
      <c r="M64" s="70"/>
      <c r="N64" s="70">
        <v>22</v>
      </c>
      <c r="O64" s="70"/>
      <c r="P64" s="83">
        <f t="shared" si="10"/>
        <v>0</v>
      </c>
      <c r="Q64" s="83">
        <f t="shared" si="11"/>
        <v>205860.35250000004</v>
      </c>
      <c r="R64" s="83">
        <f t="shared" si="12"/>
        <v>0</v>
      </c>
      <c r="S64" s="68"/>
      <c r="T64" s="69"/>
      <c r="U64" s="69"/>
      <c r="V64" s="69"/>
      <c r="W64" s="69"/>
      <c r="X64" s="69"/>
      <c r="Y64" s="69"/>
      <c r="Z64" s="86">
        <f t="shared" si="27"/>
        <v>0</v>
      </c>
      <c r="AA64" s="85"/>
      <c r="AB64" s="83">
        <f t="shared" si="1"/>
        <v>0</v>
      </c>
      <c r="AC64" s="83"/>
      <c r="AD64" s="83">
        <f t="shared" si="13"/>
        <v>0</v>
      </c>
      <c r="AE64" s="133"/>
      <c r="AF64" s="132">
        <f t="shared" si="14"/>
        <v>0</v>
      </c>
      <c r="AG64" s="88">
        <v>0</v>
      </c>
      <c r="AH64" s="88">
        <f t="shared" si="23"/>
        <v>0</v>
      </c>
      <c r="AI64" s="88"/>
      <c r="AJ64" s="88"/>
      <c r="AK64" s="88">
        <v>22</v>
      </c>
      <c r="AL64" s="88">
        <f t="shared" si="24"/>
        <v>12166.6875</v>
      </c>
      <c r="AM64" s="97"/>
      <c r="AN64" s="88">
        <f t="shared" si="25"/>
        <v>0</v>
      </c>
      <c r="AO64" s="88"/>
      <c r="AP64" s="88"/>
      <c r="AQ64" s="88"/>
      <c r="AR64" s="88"/>
      <c r="AS64" s="89">
        <f t="shared" si="15"/>
        <v>22</v>
      </c>
      <c r="AT64" s="88">
        <f t="shared" si="16"/>
        <v>61758.10575000001</v>
      </c>
      <c r="AU64" s="88"/>
      <c r="AV64" s="88">
        <v>6</v>
      </c>
      <c r="AW64" s="88">
        <f t="shared" si="17"/>
        <v>2654.55</v>
      </c>
      <c r="AX64" s="88"/>
      <c r="AY64" s="88">
        <f t="shared" si="18"/>
        <v>0</v>
      </c>
      <c r="AZ64" s="84"/>
      <c r="BA64" s="88"/>
      <c r="BB64" s="88"/>
      <c r="BC64" s="88">
        <f t="shared" si="19"/>
        <v>0</v>
      </c>
      <c r="BD64" s="88" t="s">
        <v>359</v>
      </c>
      <c r="BE64" s="88"/>
      <c r="BF64" s="88">
        <v>10618</v>
      </c>
      <c r="BG64" s="88"/>
      <c r="BH64" s="71"/>
      <c r="BI64" s="91"/>
      <c r="BJ64" s="88"/>
      <c r="BK64" s="94"/>
      <c r="BL64" s="88">
        <f t="shared" si="8"/>
        <v>20586.035250000004</v>
      </c>
      <c r="BM64" s="88">
        <f t="shared" si="20"/>
        <v>313643.73100000003</v>
      </c>
      <c r="BO64" s="116">
        <v>22</v>
      </c>
    </row>
    <row r="65" spans="1:67" s="45" customFormat="1" ht="18" x14ac:dyDescent="0.35">
      <c r="A65" s="51"/>
      <c r="B65" s="70" t="s">
        <v>168</v>
      </c>
      <c r="C65" s="70" t="s">
        <v>369</v>
      </c>
      <c r="D65" s="70" t="s">
        <v>191</v>
      </c>
      <c r="E65" s="109">
        <v>12.7</v>
      </c>
      <c r="F65" s="70" t="s">
        <v>212</v>
      </c>
      <c r="G65" s="70" t="s">
        <v>39</v>
      </c>
      <c r="H65" s="51"/>
      <c r="I65" s="70" t="s">
        <v>198</v>
      </c>
      <c r="J65" s="73">
        <v>4.8600000000000003</v>
      </c>
      <c r="K65" s="81">
        <f t="shared" si="26"/>
        <v>172014.84000000003</v>
      </c>
      <c r="L65" s="53">
        <f t="shared" si="9"/>
        <v>22</v>
      </c>
      <c r="M65" s="70"/>
      <c r="N65" s="70">
        <v>18</v>
      </c>
      <c r="O65" s="70">
        <v>4</v>
      </c>
      <c r="P65" s="83">
        <f t="shared" si="10"/>
        <v>0</v>
      </c>
      <c r="Q65" s="83">
        <f t="shared" si="11"/>
        <v>193516.69500000004</v>
      </c>
      <c r="R65" s="83">
        <f t="shared" si="12"/>
        <v>43003.710000000006</v>
      </c>
      <c r="S65" s="68"/>
      <c r="T65" s="69"/>
      <c r="U65" s="69"/>
      <c r="V65" s="69"/>
      <c r="W65" s="69"/>
      <c r="X65" s="69"/>
      <c r="Y65" s="69"/>
      <c r="Z65" s="86">
        <f t="shared" si="27"/>
        <v>0</v>
      </c>
      <c r="AA65" s="85"/>
      <c r="AB65" s="83">
        <f t="shared" si="1"/>
        <v>0</v>
      </c>
      <c r="AC65" s="83">
        <v>24</v>
      </c>
      <c r="AD65" s="83">
        <f t="shared" si="13"/>
        <v>90307.791000000012</v>
      </c>
      <c r="AE65" s="134"/>
      <c r="AF65" s="132">
        <f t="shared" si="14"/>
        <v>0</v>
      </c>
      <c r="AG65" s="88"/>
      <c r="AH65" s="88">
        <f t="shared" si="23"/>
        <v>0</v>
      </c>
      <c r="AI65" s="88"/>
      <c r="AJ65" s="88"/>
      <c r="AK65" s="88">
        <v>22</v>
      </c>
      <c r="AL65" s="88">
        <f t="shared" si="24"/>
        <v>12166.6875</v>
      </c>
      <c r="AM65" s="97"/>
      <c r="AN65" s="88">
        <f t="shared" si="25"/>
        <v>0</v>
      </c>
      <c r="AO65" s="88"/>
      <c r="AP65" s="88"/>
      <c r="AQ65" s="88"/>
      <c r="AR65" s="88"/>
      <c r="AS65" s="89">
        <v>22</v>
      </c>
      <c r="AT65" s="88">
        <f t="shared" si="16"/>
        <v>70956.121500000008</v>
      </c>
      <c r="AU65" s="88"/>
      <c r="AV65" s="88">
        <v>0</v>
      </c>
      <c r="AW65" s="88">
        <f t="shared" si="17"/>
        <v>0</v>
      </c>
      <c r="AX65" s="88">
        <v>2</v>
      </c>
      <c r="AY65" s="88">
        <f t="shared" si="18"/>
        <v>884.85</v>
      </c>
      <c r="AZ65" s="84"/>
      <c r="BA65" s="88">
        <v>2</v>
      </c>
      <c r="BB65" s="88"/>
      <c r="BC65" s="88">
        <f t="shared" si="19"/>
        <v>21501.855000000003</v>
      </c>
      <c r="BD65" s="88" t="s">
        <v>332</v>
      </c>
      <c r="BE65" s="88"/>
      <c r="BF65" s="88">
        <v>10618</v>
      </c>
      <c r="BG65" s="88"/>
      <c r="BH65" s="71"/>
      <c r="BI65" s="91"/>
      <c r="BJ65" s="88"/>
      <c r="BK65" s="94"/>
      <c r="BL65" s="88">
        <f t="shared" si="8"/>
        <v>23652.040500000003</v>
      </c>
      <c r="BM65" s="88">
        <f t="shared" si="20"/>
        <v>466607.75050000002</v>
      </c>
      <c r="BO65" s="116">
        <v>22</v>
      </c>
    </row>
    <row r="66" spans="1:67" s="45" customFormat="1" ht="18" x14ac:dyDescent="0.35">
      <c r="A66" s="51"/>
      <c r="B66" s="70" t="s">
        <v>282</v>
      </c>
      <c r="C66" s="70" t="s">
        <v>369</v>
      </c>
      <c r="D66" s="70" t="s">
        <v>191</v>
      </c>
      <c r="E66" s="109">
        <v>12.7</v>
      </c>
      <c r="F66" s="70" t="s">
        <v>212</v>
      </c>
      <c r="G66" s="70" t="s">
        <v>39</v>
      </c>
      <c r="H66" s="51"/>
      <c r="I66" s="70" t="s">
        <v>198</v>
      </c>
      <c r="J66" s="73">
        <v>4.8600000000000003</v>
      </c>
      <c r="K66" s="81">
        <f t="shared" si="26"/>
        <v>172014.84000000003</v>
      </c>
      <c r="L66" s="53">
        <f t="shared" si="9"/>
        <v>4</v>
      </c>
      <c r="M66" s="70">
        <v>4</v>
      </c>
      <c r="N66" s="70"/>
      <c r="O66" s="70"/>
      <c r="P66" s="83">
        <f t="shared" si="10"/>
        <v>43003.710000000006</v>
      </c>
      <c r="Q66" s="83">
        <f t="shared" si="11"/>
        <v>0</v>
      </c>
      <c r="R66" s="83">
        <f t="shared" si="12"/>
        <v>0</v>
      </c>
      <c r="S66" s="68"/>
      <c r="T66" s="69"/>
      <c r="U66" s="69"/>
      <c r="V66" s="69"/>
      <c r="W66" s="69"/>
      <c r="X66" s="69"/>
      <c r="Y66" s="69"/>
      <c r="Z66" s="86">
        <f t="shared" si="27"/>
        <v>0</v>
      </c>
      <c r="AA66" s="85"/>
      <c r="AB66" s="83">
        <f t="shared" si="1"/>
        <v>0</v>
      </c>
      <c r="AC66" s="83">
        <v>4</v>
      </c>
      <c r="AD66" s="83">
        <f t="shared" si="13"/>
        <v>15051.298500000001</v>
      </c>
      <c r="AE66" s="134"/>
      <c r="AF66" s="132">
        <f t="shared" si="14"/>
        <v>0</v>
      </c>
      <c r="AG66" s="88"/>
      <c r="AH66" s="88">
        <f t="shared" si="23"/>
        <v>0</v>
      </c>
      <c r="AI66" s="88"/>
      <c r="AJ66" s="88"/>
      <c r="AK66" s="88">
        <v>4</v>
      </c>
      <c r="AL66" s="88">
        <f t="shared" si="24"/>
        <v>2212.125</v>
      </c>
      <c r="AM66" s="97"/>
      <c r="AN66" s="88">
        <f t="shared" si="25"/>
        <v>0</v>
      </c>
      <c r="AO66" s="88"/>
      <c r="AP66" s="88"/>
      <c r="AQ66" s="88"/>
      <c r="AR66" s="88"/>
      <c r="AS66" s="89"/>
      <c r="AT66" s="88"/>
      <c r="AU66" s="88"/>
      <c r="AV66" s="88">
        <v>0</v>
      </c>
      <c r="AW66" s="88">
        <f t="shared" si="17"/>
        <v>0</v>
      </c>
      <c r="AX66" s="88"/>
      <c r="AY66" s="88">
        <f t="shared" si="18"/>
        <v>0</v>
      </c>
      <c r="AZ66" s="84"/>
      <c r="BA66" s="88"/>
      <c r="BB66" s="88"/>
      <c r="BC66" s="88">
        <f t="shared" si="19"/>
        <v>0</v>
      </c>
      <c r="BD66" s="88"/>
      <c r="BE66" s="88"/>
      <c r="BF66" s="88"/>
      <c r="BG66" s="88"/>
      <c r="BH66" s="71"/>
      <c r="BI66" s="91"/>
      <c r="BJ66" s="88"/>
      <c r="BK66" s="94"/>
      <c r="BL66" s="88">
        <v>2150</v>
      </c>
      <c r="BM66" s="88">
        <f t="shared" si="20"/>
        <v>62417.133500000011</v>
      </c>
      <c r="BO66" s="116">
        <v>4</v>
      </c>
    </row>
    <row r="67" spans="1:67" s="45" customFormat="1" ht="18" x14ac:dyDescent="0.35">
      <c r="A67" s="51"/>
      <c r="B67" s="70" t="s">
        <v>169</v>
      </c>
      <c r="C67" s="70" t="s">
        <v>369</v>
      </c>
      <c r="D67" s="70" t="s">
        <v>191</v>
      </c>
      <c r="E67" s="111">
        <v>10.9</v>
      </c>
      <c r="F67" s="70" t="s">
        <v>208</v>
      </c>
      <c r="G67" s="70" t="s">
        <v>1</v>
      </c>
      <c r="H67" s="51"/>
      <c r="I67" s="70" t="s">
        <v>196</v>
      </c>
      <c r="J67" s="71">
        <v>4.8099999999999996</v>
      </c>
      <c r="K67" s="81">
        <f t="shared" si="26"/>
        <v>170245.13999999998</v>
      </c>
      <c r="L67" s="53">
        <f t="shared" si="9"/>
        <v>24</v>
      </c>
      <c r="M67" s="70"/>
      <c r="N67" s="70">
        <v>18</v>
      </c>
      <c r="O67" s="70">
        <v>6</v>
      </c>
      <c r="P67" s="83">
        <f t="shared" si="10"/>
        <v>0</v>
      </c>
      <c r="Q67" s="83">
        <f t="shared" si="11"/>
        <v>191525.78249999997</v>
      </c>
      <c r="R67" s="83">
        <f t="shared" si="12"/>
        <v>63841.927499999991</v>
      </c>
      <c r="S67" s="68"/>
      <c r="T67" s="69"/>
      <c r="U67" s="69"/>
      <c r="V67" s="69"/>
      <c r="W67" s="69"/>
      <c r="X67" s="69"/>
      <c r="Y67" s="69"/>
      <c r="Z67" s="86">
        <f t="shared" si="27"/>
        <v>0</v>
      </c>
      <c r="AA67" s="85"/>
      <c r="AB67" s="83">
        <f t="shared" si="1"/>
        <v>0</v>
      </c>
      <c r="AC67" s="83"/>
      <c r="AD67" s="83">
        <f t="shared" si="13"/>
        <v>0</v>
      </c>
      <c r="AE67" s="133">
        <v>24</v>
      </c>
      <c r="AF67" s="132">
        <f t="shared" si="14"/>
        <v>76610.31299999998</v>
      </c>
      <c r="AG67" s="88">
        <v>0</v>
      </c>
      <c r="AH67" s="88">
        <f t="shared" si="23"/>
        <v>0</v>
      </c>
      <c r="AI67" s="88"/>
      <c r="AJ67" s="88"/>
      <c r="AK67" s="88">
        <v>3</v>
      </c>
      <c r="AL67" s="88">
        <f t="shared" si="24"/>
        <v>1659.09375</v>
      </c>
      <c r="AM67" s="97">
        <v>10.5</v>
      </c>
      <c r="AN67" s="88">
        <f t="shared" si="25"/>
        <v>2322.7312500000003</v>
      </c>
      <c r="AO67" s="88"/>
      <c r="AP67" s="88"/>
      <c r="AQ67" s="88"/>
      <c r="AR67" s="88"/>
      <c r="AS67" s="89">
        <f t="shared" si="15"/>
        <v>24</v>
      </c>
      <c r="AT67" s="88">
        <f t="shared" si="16"/>
        <v>76610.31299999998</v>
      </c>
      <c r="AU67" s="88"/>
      <c r="AV67" s="88">
        <v>3</v>
      </c>
      <c r="AW67" s="88">
        <f t="shared" si="17"/>
        <v>1327.2750000000001</v>
      </c>
      <c r="AX67" s="88"/>
      <c r="AY67" s="88">
        <f t="shared" si="18"/>
        <v>0</v>
      </c>
      <c r="AZ67" s="84"/>
      <c r="BA67" s="88"/>
      <c r="BB67" s="88"/>
      <c r="BC67" s="88">
        <f t="shared" si="19"/>
        <v>0</v>
      </c>
      <c r="BD67" s="88" t="s">
        <v>360</v>
      </c>
      <c r="BE67" s="88"/>
      <c r="BF67" s="88">
        <v>10618</v>
      </c>
      <c r="BG67" s="88"/>
      <c r="BH67" s="71"/>
      <c r="BI67" s="91"/>
      <c r="BJ67" s="88"/>
      <c r="BK67" s="94"/>
      <c r="BL67" s="88">
        <f t="shared" si="8"/>
        <v>25536.770999999997</v>
      </c>
      <c r="BM67" s="88">
        <f t="shared" si="20"/>
        <v>450052.20699999994</v>
      </c>
      <c r="BO67" s="116">
        <v>24</v>
      </c>
    </row>
    <row r="68" spans="1:67" s="45" customFormat="1" ht="18" x14ac:dyDescent="0.35">
      <c r="A68" s="51"/>
      <c r="B68" s="70" t="s">
        <v>170</v>
      </c>
      <c r="C68" s="70" t="s">
        <v>369</v>
      </c>
      <c r="D68" s="70" t="s">
        <v>193</v>
      </c>
      <c r="E68" s="109">
        <v>30.8</v>
      </c>
      <c r="F68" s="70" t="s">
        <v>204</v>
      </c>
      <c r="G68" s="70" t="s">
        <v>1</v>
      </c>
      <c r="H68" s="51"/>
      <c r="I68" s="70" t="s">
        <v>199</v>
      </c>
      <c r="J68" s="71">
        <v>4.29</v>
      </c>
      <c r="K68" s="81">
        <f t="shared" si="26"/>
        <v>151840.26</v>
      </c>
      <c r="L68" s="53">
        <f t="shared" si="9"/>
        <v>19</v>
      </c>
      <c r="M68" s="70">
        <v>19</v>
      </c>
      <c r="N68" s="70"/>
      <c r="O68" s="70"/>
      <c r="P68" s="83">
        <f t="shared" si="10"/>
        <v>180310.30875000003</v>
      </c>
      <c r="Q68" s="83">
        <f t="shared" si="11"/>
        <v>0</v>
      </c>
      <c r="R68" s="83">
        <f t="shared" si="12"/>
        <v>0</v>
      </c>
      <c r="S68" s="68"/>
      <c r="T68" s="69"/>
      <c r="U68" s="69"/>
      <c r="V68" s="69"/>
      <c r="W68" s="69"/>
      <c r="X68" s="69"/>
      <c r="Y68" s="69"/>
      <c r="Z68" s="86">
        <f t="shared" si="27"/>
        <v>0</v>
      </c>
      <c r="AA68" s="85"/>
      <c r="AB68" s="83">
        <f t="shared" si="1"/>
        <v>0</v>
      </c>
      <c r="AC68" s="83"/>
      <c r="AD68" s="83">
        <f t="shared" si="13"/>
        <v>0</v>
      </c>
      <c r="AE68" s="133">
        <v>19</v>
      </c>
      <c r="AF68" s="132">
        <f t="shared" si="14"/>
        <v>54093.092625000005</v>
      </c>
      <c r="AG68" s="88">
        <v>11</v>
      </c>
      <c r="AH68" s="88">
        <f t="shared" si="23"/>
        <v>4866.6750000000002</v>
      </c>
      <c r="AI68" s="88"/>
      <c r="AJ68" s="88"/>
      <c r="AK68" s="88"/>
      <c r="AL68" s="88">
        <f t="shared" si="24"/>
        <v>0</v>
      </c>
      <c r="AM68" s="97"/>
      <c r="AN68" s="88">
        <f t="shared" si="25"/>
        <v>0</v>
      </c>
      <c r="AO68" s="88"/>
      <c r="AP68" s="88"/>
      <c r="AQ68" s="88"/>
      <c r="AR68" s="88"/>
      <c r="AS68" s="89">
        <v>18</v>
      </c>
      <c r="AT68" s="88">
        <f t="shared" si="16"/>
        <v>51246.087749999999</v>
      </c>
      <c r="AU68" s="88"/>
      <c r="AV68" s="88">
        <v>19</v>
      </c>
      <c r="AW68" s="88">
        <f t="shared" si="17"/>
        <v>8406.0750000000007</v>
      </c>
      <c r="AX68" s="88"/>
      <c r="AY68" s="88">
        <f t="shared" si="18"/>
        <v>0</v>
      </c>
      <c r="AZ68" s="84"/>
      <c r="BA68" s="88"/>
      <c r="BB68" s="88"/>
      <c r="BC68" s="88">
        <f t="shared" si="19"/>
        <v>0</v>
      </c>
      <c r="BD68" s="88" t="s">
        <v>340</v>
      </c>
      <c r="BE68" s="88">
        <v>8849</v>
      </c>
      <c r="BF68" s="88"/>
      <c r="BG68" s="88"/>
      <c r="BH68" s="71"/>
      <c r="BI68" s="91"/>
      <c r="BJ68" s="88"/>
      <c r="BK68" s="94"/>
      <c r="BL68" s="88">
        <f t="shared" si="8"/>
        <v>18031.030875000004</v>
      </c>
      <c r="BM68" s="88">
        <f t="shared" si="20"/>
        <v>325802.27</v>
      </c>
      <c r="BO68" s="116">
        <v>19</v>
      </c>
    </row>
    <row r="69" spans="1:67" s="45" customFormat="1" ht="18" x14ac:dyDescent="0.35">
      <c r="A69" s="51"/>
      <c r="B69" s="70" t="s">
        <v>171</v>
      </c>
      <c r="C69" s="70" t="s">
        <v>369</v>
      </c>
      <c r="D69" s="70" t="s">
        <v>191</v>
      </c>
      <c r="E69" s="109">
        <v>42.3</v>
      </c>
      <c r="F69" s="70" t="s">
        <v>212</v>
      </c>
      <c r="G69" s="70" t="s">
        <v>39</v>
      </c>
      <c r="H69" s="51"/>
      <c r="I69" s="70" t="s">
        <v>198</v>
      </c>
      <c r="J69" s="76">
        <v>5.2</v>
      </c>
      <c r="K69" s="81">
        <f t="shared" si="26"/>
        <v>184048.80000000002</v>
      </c>
      <c r="L69" s="53">
        <f t="shared" si="9"/>
        <v>24</v>
      </c>
      <c r="M69" s="70">
        <v>6</v>
      </c>
      <c r="N69" s="70">
        <v>18</v>
      </c>
      <c r="O69" s="70"/>
      <c r="P69" s="83">
        <f t="shared" si="10"/>
        <v>69018.3</v>
      </c>
      <c r="Q69" s="83">
        <f t="shared" si="11"/>
        <v>207054.90000000002</v>
      </c>
      <c r="R69" s="83">
        <f t="shared" si="12"/>
        <v>0</v>
      </c>
      <c r="S69" s="68"/>
      <c r="T69" s="69"/>
      <c r="U69" s="69"/>
      <c r="V69" s="69"/>
      <c r="W69" s="69"/>
      <c r="X69" s="69"/>
      <c r="Y69" s="69"/>
      <c r="Z69" s="86">
        <f t="shared" si="27"/>
        <v>0</v>
      </c>
      <c r="AA69" s="85"/>
      <c r="AB69" s="83">
        <f t="shared" si="1"/>
        <v>0</v>
      </c>
      <c r="AC69" s="83">
        <v>26</v>
      </c>
      <c r="AD69" s="83">
        <f t="shared" si="13"/>
        <v>104677.755</v>
      </c>
      <c r="AE69" s="134"/>
      <c r="AF69" s="132">
        <f t="shared" si="14"/>
        <v>0</v>
      </c>
      <c r="AG69" s="88"/>
      <c r="AH69" s="88">
        <f t="shared" si="23"/>
        <v>0</v>
      </c>
      <c r="AI69" s="88"/>
      <c r="AJ69" s="88"/>
      <c r="AK69" s="88">
        <v>24</v>
      </c>
      <c r="AL69" s="88">
        <f t="shared" si="24"/>
        <v>13272.75</v>
      </c>
      <c r="AM69" s="97"/>
      <c r="AN69" s="88">
        <f t="shared" si="25"/>
        <v>0</v>
      </c>
      <c r="AO69" s="88"/>
      <c r="AP69" s="88"/>
      <c r="AQ69" s="88"/>
      <c r="AR69" s="88"/>
      <c r="AS69" s="89">
        <v>24</v>
      </c>
      <c r="AT69" s="88">
        <f t="shared" si="16"/>
        <v>82821.960000000006</v>
      </c>
      <c r="AU69" s="88"/>
      <c r="AV69" s="88">
        <v>10</v>
      </c>
      <c r="AW69" s="88">
        <f t="shared" si="17"/>
        <v>4424.25</v>
      </c>
      <c r="AX69" s="88">
        <v>2</v>
      </c>
      <c r="AY69" s="88">
        <f t="shared" si="18"/>
        <v>884.85</v>
      </c>
      <c r="AZ69" s="84"/>
      <c r="BA69" s="88">
        <v>2</v>
      </c>
      <c r="BB69" s="88"/>
      <c r="BC69" s="88">
        <f t="shared" si="19"/>
        <v>23006.100000000002</v>
      </c>
      <c r="BD69" s="88" t="s">
        <v>334</v>
      </c>
      <c r="BE69" s="88"/>
      <c r="BF69" s="88">
        <v>10618</v>
      </c>
      <c r="BG69" s="88"/>
      <c r="BH69" s="71"/>
      <c r="BI69" s="91"/>
      <c r="BJ69" s="88"/>
      <c r="BK69" s="94"/>
      <c r="BL69" s="88">
        <f t="shared" si="8"/>
        <v>27607.320000000003</v>
      </c>
      <c r="BM69" s="88">
        <f t="shared" si="20"/>
        <v>543386.18499999994</v>
      </c>
      <c r="BO69" s="116">
        <v>24</v>
      </c>
    </row>
    <row r="70" spans="1:67" s="45" customFormat="1" ht="18" x14ac:dyDescent="0.35">
      <c r="A70" s="51"/>
      <c r="B70" s="70" t="s">
        <v>282</v>
      </c>
      <c r="C70" s="70" t="s">
        <v>369</v>
      </c>
      <c r="D70" s="70" t="s">
        <v>191</v>
      </c>
      <c r="E70" s="109">
        <v>42.3</v>
      </c>
      <c r="F70" s="70" t="s">
        <v>212</v>
      </c>
      <c r="G70" s="70" t="s">
        <v>39</v>
      </c>
      <c r="H70" s="51"/>
      <c r="I70" s="70" t="s">
        <v>198</v>
      </c>
      <c r="J70" s="76">
        <v>5.2</v>
      </c>
      <c r="K70" s="81">
        <f t="shared" si="26"/>
        <v>184048.80000000002</v>
      </c>
      <c r="L70" s="53">
        <f t="shared" si="9"/>
        <v>2</v>
      </c>
      <c r="M70" s="70">
        <v>2</v>
      </c>
      <c r="N70" s="70"/>
      <c r="O70" s="70"/>
      <c r="P70" s="83">
        <f t="shared" si="10"/>
        <v>23006.100000000002</v>
      </c>
      <c r="Q70" s="83">
        <f t="shared" si="11"/>
        <v>0</v>
      </c>
      <c r="R70" s="83">
        <f t="shared" si="12"/>
        <v>0</v>
      </c>
      <c r="S70" s="68"/>
      <c r="T70" s="69"/>
      <c r="U70" s="69"/>
      <c r="V70" s="69"/>
      <c r="W70" s="69"/>
      <c r="X70" s="69"/>
      <c r="Y70" s="69"/>
      <c r="Z70" s="86">
        <f t="shared" si="27"/>
        <v>0</v>
      </c>
      <c r="AA70" s="85"/>
      <c r="AB70" s="83">
        <f t="shared" si="1"/>
        <v>0</v>
      </c>
      <c r="AC70" s="83">
        <v>2</v>
      </c>
      <c r="AD70" s="83">
        <f t="shared" si="13"/>
        <v>8052.1350000000002</v>
      </c>
      <c r="AE70" s="134"/>
      <c r="AF70" s="132">
        <f t="shared" si="14"/>
        <v>0</v>
      </c>
      <c r="AG70" s="88"/>
      <c r="AH70" s="88">
        <f t="shared" si="23"/>
        <v>0</v>
      </c>
      <c r="AI70" s="88"/>
      <c r="AJ70" s="88"/>
      <c r="AK70" s="88">
        <v>2</v>
      </c>
      <c r="AL70" s="88">
        <f t="shared" si="24"/>
        <v>1106.0625</v>
      </c>
      <c r="AM70" s="97"/>
      <c r="AN70" s="88">
        <f t="shared" si="25"/>
        <v>0</v>
      </c>
      <c r="AO70" s="88"/>
      <c r="AP70" s="88"/>
      <c r="AQ70" s="88"/>
      <c r="AR70" s="88"/>
      <c r="AS70" s="89">
        <f t="shared" si="15"/>
        <v>2</v>
      </c>
      <c r="AT70" s="88">
        <f t="shared" si="16"/>
        <v>6901.8300000000008</v>
      </c>
      <c r="AU70" s="88"/>
      <c r="AV70" s="88">
        <v>0</v>
      </c>
      <c r="AW70" s="88">
        <f t="shared" si="17"/>
        <v>0</v>
      </c>
      <c r="AX70" s="88"/>
      <c r="AY70" s="88">
        <f t="shared" si="18"/>
        <v>0</v>
      </c>
      <c r="AZ70" s="84"/>
      <c r="BA70" s="88"/>
      <c r="BB70" s="88"/>
      <c r="BC70" s="88">
        <f t="shared" si="19"/>
        <v>0</v>
      </c>
      <c r="BD70" s="88"/>
      <c r="BE70" s="88"/>
      <c r="BF70" s="88"/>
      <c r="BG70" s="88"/>
      <c r="BH70" s="71"/>
      <c r="BI70" s="91"/>
      <c r="BJ70" s="88"/>
      <c r="BK70" s="94"/>
      <c r="BL70" s="88">
        <v>0</v>
      </c>
      <c r="BM70" s="88">
        <f t="shared" si="20"/>
        <v>39066.127500000002</v>
      </c>
      <c r="BO70" s="116">
        <v>2</v>
      </c>
    </row>
    <row r="71" spans="1:67" s="45" customFormat="1" ht="18" x14ac:dyDescent="0.35">
      <c r="A71" s="51"/>
      <c r="B71" s="70" t="s">
        <v>172</v>
      </c>
      <c r="C71" s="70" t="s">
        <v>369</v>
      </c>
      <c r="D71" s="70" t="s">
        <v>191</v>
      </c>
      <c r="E71" s="113">
        <v>0</v>
      </c>
      <c r="F71" s="70" t="s">
        <v>208</v>
      </c>
      <c r="G71" s="70" t="s">
        <v>194</v>
      </c>
      <c r="H71" s="51"/>
      <c r="I71" s="70" t="s">
        <v>197</v>
      </c>
      <c r="J71" s="71">
        <v>4.0999999999999996</v>
      </c>
      <c r="K71" s="81">
        <f t="shared" si="26"/>
        <v>145115.4</v>
      </c>
      <c r="L71" s="53">
        <f t="shared" si="9"/>
        <v>18</v>
      </c>
      <c r="M71" s="70">
        <v>12</v>
      </c>
      <c r="N71" s="70">
        <v>6</v>
      </c>
      <c r="O71" s="70"/>
      <c r="P71" s="83">
        <f t="shared" si="10"/>
        <v>108836.54999999999</v>
      </c>
      <c r="Q71" s="83">
        <f t="shared" si="11"/>
        <v>54418.274999999994</v>
      </c>
      <c r="R71" s="83">
        <f t="shared" si="12"/>
        <v>0</v>
      </c>
      <c r="S71" s="68"/>
      <c r="T71" s="69"/>
      <c r="U71" s="69"/>
      <c r="V71" s="69"/>
      <c r="W71" s="69"/>
      <c r="X71" s="69"/>
      <c r="Y71" s="69"/>
      <c r="Z71" s="86">
        <f t="shared" si="27"/>
        <v>0</v>
      </c>
      <c r="AA71" s="85"/>
      <c r="AB71" s="83">
        <f t="shared" si="1"/>
        <v>0</v>
      </c>
      <c r="AC71" s="83"/>
      <c r="AD71" s="83">
        <f t="shared" si="13"/>
        <v>0</v>
      </c>
      <c r="AE71" s="133"/>
      <c r="AF71" s="132">
        <f t="shared" si="14"/>
        <v>0</v>
      </c>
      <c r="AG71" s="88">
        <v>0</v>
      </c>
      <c r="AH71" s="88">
        <f t="shared" si="23"/>
        <v>0</v>
      </c>
      <c r="AI71" s="88"/>
      <c r="AJ71" s="88"/>
      <c r="AK71" s="88">
        <v>3</v>
      </c>
      <c r="AL71" s="88">
        <f t="shared" si="24"/>
        <v>1659.09375</v>
      </c>
      <c r="AM71" s="97">
        <v>7.5</v>
      </c>
      <c r="AN71" s="88">
        <f t="shared" si="25"/>
        <v>1659.09375</v>
      </c>
      <c r="AO71" s="88"/>
      <c r="AP71" s="88"/>
      <c r="AQ71" s="88"/>
      <c r="AR71" s="88"/>
      <c r="AS71" s="89">
        <f t="shared" si="15"/>
        <v>18</v>
      </c>
      <c r="AT71" s="88">
        <f t="shared" si="16"/>
        <v>48976.447499999995</v>
      </c>
      <c r="AU71" s="88"/>
      <c r="AV71" s="88">
        <v>4</v>
      </c>
      <c r="AW71" s="88">
        <f t="shared" si="17"/>
        <v>1769.7</v>
      </c>
      <c r="AX71" s="88"/>
      <c r="AY71" s="88">
        <f t="shared" si="18"/>
        <v>0</v>
      </c>
      <c r="AZ71" s="84"/>
      <c r="BA71" s="88"/>
      <c r="BB71" s="88"/>
      <c r="BC71" s="88">
        <f t="shared" si="19"/>
        <v>0</v>
      </c>
      <c r="BD71" s="88" t="s">
        <v>361</v>
      </c>
      <c r="BE71" s="88"/>
      <c r="BF71" s="88">
        <v>10618</v>
      </c>
      <c r="BG71" s="88"/>
      <c r="BH71" s="71"/>
      <c r="BI71" s="91"/>
      <c r="BJ71" s="88"/>
      <c r="BK71" s="94"/>
      <c r="BL71" s="88">
        <f t="shared" si="8"/>
        <v>16325.482499999998</v>
      </c>
      <c r="BM71" s="88">
        <f t="shared" si="20"/>
        <v>244262.64249999996</v>
      </c>
      <c r="BO71" s="116">
        <v>18</v>
      </c>
    </row>
    <row r="72" spans="1:67" s="45" customFormat="1" ht="18" x14ac:dyDescent="0.35">
      <c r="A72" s="51"/>
      <c r="B72" s="70" t="s">
        <v>173</v>
      </c>
      <c r="C72" s="70" t="s">
        <v>369</v>
      </c>
      <c r="D72" s="70" t="s">
        <v>193</v>
      </c>
      <c r="E72" s="113">
        <v>6</v>
      </c>
      <c r="F72" s="70" t="s">
        <v>204</v>
      </c>
      <c r="G72" s="70" t="s">
        <v>39</v>
      </c>
      <c r="H72" s="51"/>
      <c r="I72" s="70" t="s">
        <v>202</v>
      </c>
      <c r="J72" s="71">
        <v>3.97</v>
      </c>
      <c r="K72" s="81">
        <f t="shared" si="26"/>
        <v>140514.18</v>
      </c>
      <c r="L72" s="53">
        <f t="shared" si="9"/>
        <v>20</v>
      </c>
      <c r="M72" s="70">
        <v>20</v>
      </c>
      <c r="N72" s="70"/>
      <c r="O72" s="70"/>
      <c r="P72" s="83">
        <f t="shared" si="10"/>
        <v>175642.72499999998</v>
      </c>
      <c r="Q72" s="83">
        <f t="shared" si="11"/>
        <v>0</v>
      </c>
      <c r="R72" s="83">
        <f t="shared" si="12"/>
        <v>0</v>
      </c>
      <c r="S72" s="68"/>
      <c r="T72" s="69"/>
      <c r="U72" s="69"/>
      <c r="V72" s="69"/>
      <c r="W72" s="69"/>
      <c r="X72" s="69"/>
      <c r="Y72" s="69"/>
      <c r="Z72" s="86">
        <f t="shared" si="27"/>
        <v>0</v>
      </c>
      <c r="AA72" s="85"/>
      <c r="AB72" s="83">
        <f t="shared" si="1"/>
        <v>0</v>
      </c>
      <c r="AC72" s="83">
        <v>20</v>
      </c>
      <c r="AD72" s="83">
        <f t="shared" si="13"/>
        <v>61474.953749999986</v>
      </c>
      <c r="AE72" s="133"/>
      <c r="AF72" s="132">
        <f t="shared" si="14"/>
        <v>0</v>
      </c>
      <c r="AG72" s="88">
        <v>12</v>
      </c>
      <c r="AH72" s="88">
        <f t="shared" si="23"/>
        <v>5309.1</v>
      </c>
      <c r="AI72" s="88"/>
      <c r="AJ72" s="88"/>
      <c r="AK72" s="88"/>
      <c r="AL72" s="88">
        <f t="shared" si="24"/>
        <v>0</v>
      </c>
      <c r="AM72" s="97"/>
      <c r="AN72" s="88">
        <f t="shared" si="25"/>
        <v>0</v>
      </c>
      <c r="AO72" s="88"/>
      <c r="AP72" s="88"/>
      <c r="AQ72" s="88"/>
      <c r="AR72" s="88"/>
      <c r="AS72" s="89">
        <v>19</v>
      </c>
      <c r="AT72" s="88">
        <f t="shared" si="16"/>
        <v>50058.176625</v>
      </c>
      <c r="AU72" s="88"/>
      <c r="AV72" s="88">
        <v>20</v>
      </c>
      <c r="AW72" s="88">
        <f t="shared" si="17"/>
        <v>8848.5</v>
      </c>
      <c r="AX72" s="88"/>
      <c r="AY72" s="88">
        <f t="shared" si="18"/>
        <v>0</v>
      </c>
      <c r="AZ72" s="84"/>
      <c r="BA72" s="88"/>
      <c r="BB72" s="88"/>
      <c r="BC72" s="88">
        <f t="shared" si="19"/>
        <v>0</v>
      </c>
      <c r="BD72" s="88" t="s">
        <v>341</v>
      </c>
      <c r="BE72" s="88">
        <v>8849</v>
      </c>
      <c r="BF72" s="88"/>
      <c r="BG72" s="88"/>
      <c r="BH72" s="71"/>
      <c r="BI72" s="91"/>
      <c r="BJ72" s="88"/>
      <c r="BK72" s="94"/>
      <c r="BL72" s="88">
        <f t="shared" si="8"/>
        <v>17564.272499999999</v>
      </c>
      <c r="BM72" s="88">
        <f t="shared" si="20"/>
        <v>327746.72787499998</v>
      </c>
      <c r="BO72" s="116">
        <v>20</v>
      </c>
    </row>
    <row r="73" spans="1:67" s="45" customFormat="1" ht="18" x14ac:dyDescent="0.35">
      <c r="A73" s="51"/>
      <c r="B73" s="77" t="s">
        <v>174</v>
      </c>
      <c r="C73" s="70" t="s">
        <v>369</v>
      </c>
      <c r="D73" s="77" t="s">
        <v>191</v>
      </c>
      <c r="E73" s="112">
        <v>3.1</v>
      </c>
      <c r="F73" s="77" t="s">
        <v>208</v>
      </c>
      <c r="G73" s="77" t="s">
        <v>1</v>
      </c>
      <c r="H73" s="51"/>
      <c r="I73" s="77" t="s">
        <v>196</v>
      </c>
      <c r="J73" s="78">
        <v>4.59</v>
      </c>
      <c r="K73" s="81">
        <f t="shared" si="26"/>
        <v>162458.46</v>
      </c>
      <c r="L73" s="53">
        <f t="shared" si="9"/>
        <v>24</v>
      </c>
      <c r="M73" s="77">
        <v>6</v>
      </c>
      <c r="N73" s="77">
        <v>12</v>
      </c>
      <c r="O73" s="77">
        <v>6</v>
      </c>
      <c r="P73" s="83">
        <f t="shared" si="10"/>
        <v>60921.922500000001</v>
      </c>
      <c r="Q73" s="83">
        <f t="shared" si="11"/>
        <v>121843.845</v>
      </c>
      <c r="R73" s="83">
        <f t="shared" si="12"/>
        <v>60921.922500000001</v>
      </c>
      <c r="S73" s="68"/>
      <c r="T73" s="69"/>
      <c r="U73" s="69"/>
      <c r="V73" s="69"/>
      <c r="W73" s="69"/>
      <c r="X73" s="69"/>
      <c r="Y73" s="69"/>
      <c r="Z73" s="86">
        <f t="shared" si="27"/>
        <v>0</v>
      </c>
      <c r="AA73" s="85"/>
      <c r="AB73" s="83">
        <f t="shared" si="1"/>
        <v>0</v>
      </c>
      <c r="AC73" s="83"/>
      <c r="AD73" s="83">
        <f t="shared" si="13"/>
        <v>0</v>
      </c>
      <c r="AE73" s="133">
        <v>24</v>
      </c>
      <c r="AF73" s="132">
        <f t="shared" si="14"/>
        <v>73106.307000000001</v>
      </c>
      <c r="AG73" s="88">
        <v>0</v>
      </c>
      <c r="AH73" s="88">
        <f t="shared" si="23"/>
        <v>0</v>
      </c>
      <c r="AI73" s="88"/>
      <c r="AJ73" s="88"/>
      <c r="AK73" s="88">
        <v>6</v>
      </c>
      <c r="AL73" s="88">
        <f t="shared" si="24"/>
        <v>3318.1875</v>
      </c>
      <c r="AM73" s="100">
        <v>9</v>
      </c>
      <c r="AN73" s="88">
        <f t="shared" si="25"/>
        <v>1990.9125000000001</v>
      </c>
      <c r="AO73" s="88"/>
      <c r="AP73" s="88"/>
      <c r="AQ73" s="88"/>
      <c r="AR73" s="88"/>
      <c r="AS73" s="89">
        <f t="shared" si="15"/>
        <v>24</v>
      </c>
      <c r="AT73" s="88">
        <f t="shared" si="16"/>
        <v>73106.307000000001</v>
      </c>
      <c r="AU73" s="88"/>
      <c r="AV73" s="88">
        <v>8</v>
      </c>
      <c r="AW73" s="88">
        <f t="shared" si="17"/>
        <v>3539.4</v>
      </c>
      <c r="AX73" s="88"/>
      <c r="AY73" s="88">
        <f t="shared" si="18"/>
        <v>0</v>
      </c>
      <c r="AZ73" s="84"/>
      <c r="BA73" s="88"/>
      <c r="BB73" s="88"/>
      <c r="BC73" s="88">
        <f t="shared" si="19"/>
        <v>0</v>
      </c>
      <c r="BD73" s="88" t="s">
        <v>362</v>
      </c>
      <c r="BE73" s="88"/>
      <c r="BF73" s="88">
        <v>10618</v>
      </c>
      <c r="BG73" s="88"/>
      <c r="BH73" s="78"/>
      <c r="BI73" s="92"/>
      <c r="BJ73" s="88"/>
      <c r="BK73" s="94"/>
      <c r="BL73" s="88">
        <f t="shared" si="8"/>
        <v>24368.769</v>
      </c>
      <c r="BM73" s="88">
        <f t="shared" si="20"/>
        <v>433735.57299999997</v>
      </c>
      <c r="BO73" s="116">
        <v>24</v>
      </c>
    </row>
    <row r="74" spans="1:67" s="45" customFormat="1" ht="18" x14ac:dyDescent="0.35">
      <c r="A74" s="51"/>
      <c r="B74" s="77" t="s">
        <v>175</v>
      </c>
      <c r="C74" s="70" t="s">
        <v>369</v>
      </c>
      <c r="D74" s="77" t="s">
        <v>191</v>
      </c>
      <c r="E74" s="115">
        <v>5</v>
      </c>
      <c r="F74" s="77" t="s">
        <v>211</v>
      </c>
      <c r="G74" s="77" t="s">
        <v>1</v>
      </c>
      <c r="H74" s="51"/>
      <c r="I74" s="77" t="s">
        <v>196</v>
      </c>
      <c r="J74" s="78">
        <v>4.66</v>
      </c>
      <c r="K74" s="81">
        <f t="shared" si="26"/>
        <v>164936.04</v>
      </c>
      <c r="L74" s="53">
        <f t="shared" si="9"/>
        <v>5</v>
      </c>
      <c r="M74" s="77"/>
      <c r="N74" s="77">
        <v>5</v>
      </c>
      <c r="O74" s="77"/>
      <c r="P74" s="83">
        <f t="shared" si="10"/>
        <v>0</v>
      </c>
      <c r="Q74" s="83">
        <f t="shared" si="11"/>
        <v>51542.512500000004</v>
      </c>
      <c r="R74" s="83">
        <f t="shared" si="12"/>
        <v>0</v>
      </c>
      <c r="S74" s="68"/>
      <c r="T74" s="69"/>
      <c r="U74" s="69"/>
      <c r="V74" s="69"/>
      <c r="W74" s="69"/>
      <c r="X74" s="69"/>
      <c r="Y74" s="69"/>
      <c r="Z74" s="86">
        <f t="shared" si="27"/>
        <v>0</v>
      </c>
      <c r="AA74" s="85"/>
      <c r="AB74" s="83">
        <f t="shared" si="1"/>
        <v>0</v>
      </c>
      <c r="AC74" s="83"/>
      <c r="AD74" s="83">
        <f t="shared" si="13"/>
        <v>0</v>
      </c>
      <c r="AE74" s="133">
        <v>8</v>
      </c>
      <c r="AF74" s="132">
        <f t="shared" si="14"/>
        <v>24740.405999999999</v>
      </c>
      <c r="AG74" s="88">
        <v>0</v>
      </c>
      <c r="AH74" s="88">
        <f t="shared" si="23"/>
        <v>0</v>
      </c>
      <c r="AI74" s="88"/>
      <c r="AJ74" s="88"/>
      <c r="AK74" s="88">
        <v>5</v>
      </c>
      <c r="AL74" s="88">
        <f t="shared" si="24"/>
        <v>2765.15625</v>
      </c>
      <c r="AM74" s="100"/>
      <c r="AN74" s="88">
        <f t="shared" si="25"/>
        <v>0</v>
      </c>
      <c r="AO74" s="88"/>
      <c r="AP74" s="88"/>
      <c r="AQ74" s="88"/>
      <c r="AR74" s="88"/>
      <c r="AS74" s="89">
        <v>5</v>
      </c>
      <c r="AT74" s="88">
        <f t="shared" si="16"/>
        <v>15462.75375</v>
      </c>
      <c r="AU74" s="88"/>
      <c r="AV74" s="88">
        <v>0</v>
      </c>
      <c r="AW74" s="88">
        <f t="shared" si="17"/>
        <v>0</v>
      </c>
      <c r="AX74" s="88">
        <v>3</v>
      </c>
      <c r="AY74" s="88">
        <f t="shared" si="18"/>
        <v>1327.2750000000001</v>
      </c>
      <c r="AZ74" s="84"/>
      <c r="BA74" s="88">
        <v>3</v>
      </c>
      <c r="BB74" s="88"/>
      <c r="BC74" s="88">
        <f t="shared" si="19"/>
        <v>30925.5075</v>
      </c>
      <c r="BD74" s="88"/>
      <c r="BE74" s="88"/>
      <c r="BF74" s="88"/>
      <c r="BG74" s="88"/>
      <c r="BH74" s="78"/>
      <c r="BI74" s="92"/>
      <c r="BJ74" s="88"/>
      <c r="BK74" s="94"/>
      <c r="BL74" s="88">
        <f t="shared" si="8"/>
        <v>5154.2512500000012</v>
      </c>
      <c r="BM74" s="88">
        <f t="shared" si="20"/>
        <v>131917.86225000001</v>
      </c>
      <c r="BO74" s="116">
        <v>5</v>
      </c>
    </row>
    <row r="75" spans="1:67" s="45" customFormat="1" ht="18" x14ac:dyDescent="0.35">
      <c r="A75" s="51"/>
      <c r="B75" s="70" t="s">
        <v>176</v>
      </c>
      <c r="C75" s="70" t="s">
        <v>369</v>
      </c>
      <c r="D75" s="70" t="s">
        <v>191</v>
      </c>
      <c r="E75" s="109">
        <v>26.8</v>
      </c>
      <c r="F75" s="70" t="s">
        <v>215</v>
      </c>
      <c r="G75" s="70" t="s">
        <v>37</v>
      </c>
      <c r="H75" s="51"/>
      <c r="I75" s="70" t="s">
        <v>200</v>
      </c>
      <c r="J75" s="71">
        <v>5.41</v>
      </c>
      <c r="K75" s="81">
        <f t="shared" ref="K75:K92" si="28">J75*17697*2</f>
        <v>191481.54</v>
      </c>
      <c r="L75" s="53">
        <f t="shared" si="9"/>
        <v>24</v>
      </c>
      <c r="M75" s="70"/>
      <c r="N75" s="70">
        <v>18</v>
      </c>
      <c r="O75" s="70">
        <v>6</v>
      </c>
      <c r="P75" s="83">
        <f t="shared" si="10"/>
        <v>0</v>
      </c>
      <c r="Q75" s="83">
        <f t="shared" si="11"/>
        <v>215416.73250000001</v>
      </c>
      <c r="R75" s="83">
        <f t="shared" si="12"/>
        <v>71805.577499999999</v>
      </c>
      <c r="S75" s="68"/>
      <c r="T75" s="69"/>
      <c r="U75" s="69"/>
      <c r="V75" s="69"/>
      <c r="W75" s="69"/>
      <c r="X75" s="69"/>
      <c r="Y75" s="69"/>
      <c r="Z75" s="86">
        <f t="shared" si="27"/>
        <v>0</v>
      </c>
      <c r="AA75" s="85">
        <v>24</v>
      </c>
      <c r="AB75" s="83">
        <f t="shared" si="1"/>
        <v>114888.924</v>
      </c>
      <c r="AC75" s="83"/>
      <c r="AD75" s="83">
        <f t="shared" si="13"/>
        <v>0</v>
      </c>
      <c r="AE75" s="134"/>
      <c r="AF75" s="132">
        <f t="shared" si="14"/>
        <v>0</v>
      </c>
      <c r="AG75" s="88"/>
      <c r="AH75" s="88">
        <f t="shared" si="23"/>
        <v>0</v>
      </c>
      <c r="AI75" s="88"/>
      <c r="AJ75" s="88"/>
      <c r="AK75" s="88"/>
      <c r="AL75" s="88">
        <f t="shared" si="24"/>
        <v>0</v>
      </c>
      <c r="AM75" s="97"/>
      <c r="AN75" s="88">
        <f t="shared" si="25"/>
        <v>0</v>
      </c>
      <c r="AO75" s="88"/>
      <c r="AP75" s="88"/>
      <c r="AQ75" s="88"/>
      <c r="AR75" s="88"/>
      <c r="AS75" s="89">
        <v>22</v>
      </c>
      <c r="AT75" s="88">
        <f t="shared" si="16"/>
        <v>78986.135249999992</v>
      </c>
      <c r="AU75" s="88"/>
      <c r="AV75" s="88"/>
      <c r="AW75" s="88">
        <f t="shared" si="17"/>
        <v>0</v>
      </c>
      <c r="AX75" s="88"/>
      <c r="AY75" s="88">
        <f t="shared" si="18"/>
        <v>0</v>
      </c>
      <c r="AZ75" s="84"/>
      <c r="BA75" s="88"/>
      <c r="BB75" s="88"/>
      <c r="BC75" s="88">
        <f t="shared" si="19"/>
        <v>0</v>
      </c>
      <c r="BD75" s="88" t="s">
        <v>363</v>
      </c>
      <c r="BE75" s="88"/>
      <c r="BF75" s="88">
        <v>10618</v>
      </c>
      <c r="BG75" s="88"/>
      <c r="BH75" s="71"/>
      <c r="BI75" s="91"/>
      <c r="BJ75" s="88"/>
      <c r="BK75" s="94"/>
      <c r="BL75" s="88">
        <f t="shared" si="8"/>
        <v>28722.231</v>
      </c>
      <c r="BM75" s="88">
        <f t="shared" si="20"/>
        <v>520437.60025000002</v>
      </c>
      <c r="BO75" s="116">
        <v>24</v>
      </c>
    </row>
    <row r="76" spans="1:67" s="45" customFormat="1" ht="18" x14ac:dyDescent="0.35">
      <c r="A76" s="51"/>
      <c r="B76" s="70" t="s">
        <v>282</v>
      </c>
      <c r="C76" s="70" t="s">
        <v>369</v>
      </c>
      <c r="D76" s="70" t="s">
        <v>191</v>
      </c>
      <c r="E76" s="109">
        <v>26.8</v>
      </c>
      <c r="F76" s="70" t="s">
        <v>215</v>
      </c>
      <c r="G76" s="70" t="s">
        <v>37</v>
      </c>
      <c r="H76" s="51"/>
      <c r="I76" s="70" t="s">
        <v>200</v>
      </c>
      <c r="J76" s="71">
        <v>5.41</v>
      </c>
      <c r="K76" s="81">
        <f t="shared" si="28"/>
        <v>191481.54</v>
      </c>
      <c r="L76" s="53">
        <f t="shared" si="9"/>
        <v>8</v>
      </c>
      <c r="M76" s="70"/>
      <c r="N76" s="70"/>
      <c r="O76" s="70">
        <v>8</v>
      </c>
      <c r="P76" s="83">
        <f t="shared" si="10"/>
        <v>0</v>
      </c>
      <c r="Q76" s="83">
        <f t="shared" si="11"/>
        <v>0</v>
      </c>
      <c r="R76" s="83">
        <f t="shared" si="12"/>
        <v>95740.77</v>
      </c>
      <c r="S76" s="68"/>
      <c r="T76" s="69"/>
      <c r="U76" s="69"/>
      <c r="V76" s="69"/>
      <c r="W76" s="69"/>
      <c r="X76" s="69"/>
      <c r="Y76" s="69"/>
      <c r="Z76" s="86">
        <f t="shared" si="27"/>
        <v>0</v>
      </c>
      <c r="AA76" s="85">
        <v>8</v>
      </c>
      <c r="AB76" s="83">
        <f t="shared" si="1"/>
        <v>38296.308000000005</v>
      </c>
      <c r="AC76" s="83"/>
      <c r="AD76" s="83">
        <f t="shared" si="13"/>
        <v>0</v>
      </c>
      <c r="AE76" s="134"/>
      <c r="AF76" s="132">
        <f t="shared" si="14"/>
        <v>0</v>
      </c>
      <c r="AG76" s="88"/>
      <c r="AH76" s="88">
        <f t="shared" si="23"/>
        <v>0</v>
      </c>
      <c r="AI76" s="88"/>
      <c r="AJ76" s="88"/>
      <c r="AK76" s="88"/>
      <c r="AL76" s="88">
        <f t="shared" si="24"/>
        <v>0</v>
      </c>
      <c r="AM76" s="97"/>
      <c r="AN76" s="88">
        <f t="shared" si="25"/>
        <v>0</v>
      </c>
      <c r="AO76" s="88"/>
      <c r="AP76" s="88"/>
      <c r="AQ76" s="88"/>
      <c r="AR76" s="88"/>
      <c r="AS76" s="89">
        <f t="shared" si="15"/>
        <v>8</v>
      </c>
      <c r="AT76" s="88">
        <f t="shared" si="16"/>
        <v>28722.231</v>
      </c>
      <c r="AU76" s="88"/>
      <c r="AV76" s="88"/>
      <c r="AW76" s="88">
        <f t="shared" si="17"/>
        <v>0</v>
      </c>
      <c r="AX76" s="88"/>
      <c r="AY76" s="88">
        <f t="shared" si="18"/>
        <v>0</v>
      </c>
      <c r="AZ76" s="84"/>
      <c r="BA76" s="88"/>
      <c r="BB76" s="88"/>
      <c r="BC76" s="88">
        <f t="shared" si="19"/>
        <v>0</v>
      </c>
      <c r="BD76" s="88"/>
      <c r="BE76" s="88"/>
      <c r="BF76" s="88"/>
      <c r="BG76" s="88"/>
      <c r="BH76" s="71"/>
      <c r="BI76" s="91"/>
      <c r="BJ76" s="88"/>
      <c r="BK76" s="94"/>
      <c r="BL76" s="88">
        <f t="shared" si="8"/>
        <v>9574.0770000000011</v>
      </c>
      <c r="BM76" s="88">
        <f t="shared" si="20"/>
        <v>172333.386</v>
      </c>
      <c r="BO76" s="116">
        <v>8</v>
      </c>
    </row>
    <row r="77" spans="1:67" s="45" customFormat="1" ht="18" x14ac:dyDescent="0.35">
      <c r="A77" s="51"/>
      <c r="B77" s="70" t="s">
        <v>177</v>
      </c>
      <c r="C77" s="70" t="s">
        <v>369</v>
      </c>
      <c r="D77" s="70" t="s">
        <v>191</v>
      </c>
      <c r="E77" s="109">
        <v>13</v>
      </c>
      <c r="F77" s="70" t="s">
        <v>204</v>
      </c>
      <c r="G77" s="70" t="s">
        <v>39</v>
      </c>
      <c r="H77" s="51"/>
      <c r="I77" s="70" t="s">
        <v>202</v>
      </c>
      <c r="J77" s="71">
        <v>4.17</v>
      </c>
      <c r="K77" s="81">
        <f t="shared" si="28"/>
        <v>147592.98000000001</v>
      </c>
      <c r="L77" s="53">
        <f t="shared" si="9"/>
        <v>19</v>
      </c>
      <c r="M77" s="70">
        <v>19</v>
      </c>
      <c r="N77" s="70"/>
      <c r="O77" s="70"/>
      <c r="P77" s="83">
        <f t="shared" si="10"/>
        <v>175266.66375000001</v>
      </c>
      <c r="Q77" s="83">
        <f t="shared" si="11"/>
        <v>0</v>
      </c>
      <c r="R77" s="83">
        <f t="shared" si="12"/>
        <v>0</v>
      </c>
      <c r="S77" s="68"/>
      <c r="T77" s="69"/>
      <c r="U77" s="69"/>
      <c r="V77" s="69"/>
      <c r="W77" s="69"/>
      <c r="X77" s="69"/>
      <c r="Y77" s="69"/>
      <c r="Z77" s="86">
        <f t="shared" si="27"/>
        <v>0</v>
      </c>
      <c r="AA77" s="85"/>
      <c r="AB77" s="83">
        <f t="shared" si="1"/>
        <v>0</v>
      </c>
      <c r="AC77" s="83">
        <v>28</v>
      </c>
      <c r="AD77" s="83">
        <f t="shared" si="13"/>
        <v>90400.700250000009</v>
      </c>
      <c r="AE77" s="133"/>
      <c r="AF77" s="132">
        <f t="shared" si="14"/>
        <v>0</v>
      </c>
      <c r="AG77" s="88">
        <v>12</v>
      </c>
      <c r="AH77" s="88">
        <f t="shared" si="23"/>
        <v>5309.1</v>
      </c>
      <c r="AI77" s="88"/>
      <c r="AJ77" s="88"/>
      <c r="AK77" s="88"/>
      <c r="AL77" s="88">
        <f t="shared" si="24"/>
        <v>0</v>
      </c>
      <c r="AM77" s="97"/>
      <c r="AN77" s="88">
        <f t="shared" si="25"/>
        <v>0</v>
      </c>
      <c r="AO77" s="88"/>
      <c r="AP77" s="88"/>
      <c r="AQ77" s="88"/>
      <c r="AR77" s="88"/>
      <c r="AS77" s="89">
        <v>19</v>
      </c>
      <c r="AT77" s="88">
        <f t="shared" si="16"/>
        <v>52579.999125000002</v>
      </c>
      <c r="AU77" s="88"/>
      <c r="AV77" s="88"/>
      <c r="AW77" s="88">
        <f t="shared" si="17"/>
        <v>0</v>
      </c>
      <c r="AX77" s="88">
        <v>9</v>
      </c>
      <c r="AY77" s="88">
        <f t="shared" si="18"/>
        <v>3981.8250000000003</v>
      </c>
      <c r="AZ77" s="84"/>
      <c r="BA77" s="88">
        <v>9</v>
      </c>
      <c r="BB77" s="88"/>
      <c r="BC77" s="88">
        <f t="shared" si="19"/>
        <v>83021.051250000004</v>
      </c>
      <c r="BD77" s="88" t="s">
        <v>335</v>
      </c>
      <c r="BE77" s="88">
        <v>8849</v>
      </c>
      <c r="BF77" s="88"/>
      <c r="BG77" s="88"/>
      <c r="BH77" s="71"/>
      <c r="BI77" s="91"/>
      <c r="BJ77" s="88"/>
      <c r="BK77" s="94"/>
      <c r="BL77" s="88">
        <f t="shared" si="8"/>
        <v>17526.666375000001</v>
      </c>
      <c r="BM77" s="88">
        <f t="shared" si="20"/>
        <v>436935.00575000001</v>
      </c>
      <c r="BO77" s="116">
        <v>19</v>
      </c>
    </row>
    <row r="78" spans="1:67" s="45" customFormat="1" ht="18" x14ac:dyDescent="0.35">
      <c r="A78" s="51"/>
      <c r="B78" s="70" t="s">
        <v>178</v>
      </c>
      <c r="C78" s="70" t="s">
        <v>369</v>
      </c>
      <c r="D78" s="70" t="s">
        <v>191</v>
      </c>
      <c r="E78" s="109">
        <v>31.8</v>
      </c>
      <c r="F78" s="70" t="s">
        <v>204</v>
      </c>
      <c r="G78" s="70" t="s">
        <v>37</v>
      </c>
      <c r="H78" s="51"/>
      <c r="I78" s="70" t="s">
        <v>200</v>
      </c>
      <c r="J78" s="71">
        <v>5.41</v>
      </c>
      <c r="K78" s="81">
        <f t="shared" si="28"/>
        <v>191481.54</v>
      </c>
      <c r="L78" s="53">
        <f t="shared" si="9"/>
        <v>20</v>
      </c>
      <c r="M78" s="70">
        <v>20</v>
      </c>
      <c r="N78" s="70"/>
      <c r="O78" s="70"/>
      <c r="P78" s="83">
        <f t="shared" si="10"/>
        <v>239351.92500000002</v>
      </c>
      <c r="Q78" s="83">
        <f t="shared" si="11"/>
        <v>0</v>
      </c>
      <c r="R78" s="83">
        <f t="shared" si="12"/>
        <v>0</v>
      </c>
      <c r="S78" s="68"/>
      <c r="T78" s="69"/>
      <c r="U78" s="69"/>
      <c r="V78" s="69"/>
      <c r="W78" s="69"/>
      <c r="X78" s="69"/>
      <c r="Y78" s="69"/>
      <c r="Z78" s="86">
        <f t="shared" si="27"/>
        <v>0</v>
      </c>
      <c r="AA78" s="85">
        <v>20</v>
      </c>
      <c r="AB78" s="83">
        <f t="shared" si="1"/>
        <v>95740.770000000019</v>
      </c>
      <c r="AC78" s="83"/>
      <c r="AD78" s="83">
        <f t="shared" si="13"/>
        <v>0</v>
      </c>
      <c r="AE78" s="134"/>
      <c r="AF78" s="132">
        <f t="shared" si="14"/>
        <v>0</v>
      </c>
      <c r="AG78" s="88">
        <v>12</v>
      </c>
      <c r="AH78" s="88">
        <f t="shared" si="23"/>
        <v>5309.1</v>
      </c>
      <c r="AI78" s="88"/>
      <c r="AJ78" s="88"/>
      <c r="AK78" s="88"/>
      <c r="AL78" s="88">
        <f t="shared" si="24"/>
        <v>0</v>
      </c>
      <c r="AM78" s="97"/>
      <c r="AN78" s="88">
        <f t="shared" si="25"/>
        <v>0</v>
      </c>
      <c r="AO78" s="88"/>
      <c r="AP78" s="88"/>
      <c r="AQ78" s="88"/>
      <c r="AR78" s="88"/>
      <c r="AS78" s="89">
        <v>19</v>
      </c>
      <c r="AT78" s="88">
        <f t="shared" si="16"/>
        <v>68215.298624999996</v>
      </c>
      <c r="AU78" s="88"/>
      <c r="AV78" s="88"/>
      <c r="AW78" s="88">
        <f t="shared" si="17"/>
        <v>0</v>
      </c>
      <c r="AX78" s="88"/>
      <c r="AY78" s="88">
        <f t="shared" si="18"/>
        <v>0</v>
      </c>
      <c r="AZ78" s="84"/>
      <c r="BA78" s="88"/>
      <c r="BB78" s="88"/>
      <c r="BC78" s="88">
        <f t="shared" si="19"/>
        <v>0</v>
      </c>
      <c r="BD78" s="88" t="s">
        <v>342</v>
      </c>
      <c r="BE78" s="88">
        <v>8849</v>
      </c>
      <c r="BF78" s="88"/>
      <c r="BG78" s="88"/>
      <c r="BH78" s="71"/>
      <c r="BI78" s="91"/>
      <c r="BJ78" s="88"/>
      <c r="BK78" s="94"/>
      <c r="BL78" s="88">
        <f t="shared" si="8"/>
        <v>23935.192500000005</v>
      </c>
      <c r="BM78" s="88">
        <f t="shared" si="20"/>
        <v>441401.28612500004</v>
      </c>
      <c r="BO78" s="116">
        <v>20</v>
      </c>
    </row>
    <row r="79" spans="1:67" s="45" customFormat="1" ht="18" x14ac:dyDescent="0.35">
      <c r="A79" s="51"/>
      <c r="B79" s="70" t="s">
        <v>179</v>
      </c>
      <c r="C79" s="70" t="s">
        <v>379</v>
      </c>
      <c r="D79" s="70" t="s">
        <v>191</v>
      </c>
      <c r="E79" s="109">
        <v>0</v>
      </c>
      <c r="F79" s="70" t="s">
        <v>206</v>
      </c>
      <c r="G79" s="70" t="s">
        <v>194</v>
      </c>
      <c r="H79" s="51"/>
      <c r="I79" s="70" t="s">
        <v>197</v>
      </c>
      <c r="J79" s="71">
        <v>4.0999999999999996</v>
      </c>
      <c r="K79" s="81">
        <f t="shared" si="28"/>
        <v>145115.4</v>
      </c>
      <c r="L79" s="53">
        <f t="shared" si="9"/>
        <v>5</v>
      </c>
      <c r="M79" s="79"/>
      <c r="N79" s="79">
        <v>5</v>
      </c>
      <c r="O79" s="79"/>
      <c r="P79" s="83">
        <f t="shared" si="10"/>
        <v>0</v>
      </c>
      <c r="Q79" s="83">
        <f t="shared" si="11"/>
        <v>45348.5625</v>
      </c>
      <c r="R79" s="83">
        <f t="shared" si="12"/>
        <v>0</v>
      </c>
      <c r="S79" s="68"/>
      <c r="T79" s="69"/>
      <c r="U79" s="69"/>
      <c r="V79" s="69"/>
      <c r="W79" s="69"/>
      <c r="X79" s="69"/>
      <c r="Y79" s="69"/>
      <c r="Z79" s="86">
        <f t="shared" si="27"/>
        <v>0</v>
      </c>
      <c r="AA79" s="85"/>
      <c r="AB79" s="83">
        <f t="shared" si="1"/>
        <v>0</v>
      </c>
      <c r="AC79" s="83"/>
      <c r="AD79" s="83">
        <f t="shared" si="13"/>
        <v>0</v>
      </c>
      <c r="AE79" s="133"/>
      <c r="AF79" s="132">
        <f t="shared" si="14"/>
        <v>0</v>
      </c>
      <c r="AG79" s="88"/>
      <c r="AH79" s="88">
        <f t="shared" si="23"/>
        <v>0</v>
      </c>
      <c r="AI79" s="88"/>
      <c r="AJ79" s="88"/>
      <c r="AK79" s="88">
        <v>5</v>
      </c>
      <c r="AL79" s="88">
        <f t="shared" si="24"/>
        <v>2765.15625</v>
      </c>
      <c r="AM79" s="97"/>
      <c r="AN79" s="88">
        <f t="shared" si="25"/>
        <v>0</v>
      </c>
      <c r="AO79" s="88"/>
      <c r="AP79" s="88"/>
      <c r="AQ79" s="88"/>
      <c r="AR79" s="88"/>
      <c r="AS79" s="89">
        <v>5</v>
      </c>
      <c r="AT79" s="88">
        <f t="shared" si="16"/>
        <v>13604.56875</v>
      </c>
      <c r="AU79" s="88"/>
      <c r="AV79" s="88"/>
      <c r="AW79" s="88">
        <f t="shared" si="17"/>
        <v>0</v>
      </c>
      <c r="AX79" s="88">
        <v>4</v>
      </c>
      <c r="AY79" s="88">
        <f t="shared" si="18"/>
        <v>1769.7</v>
      </c>
      <c r="AZ79" s="84"/>
      <c r="BA79" s="88">
        <v>4</v>
      </c>
      <c r="BB79" s="88"/>
      <c r="BC79" s="88">
        <f t="shared" si="19"/>
        <v>36278.85</v>
      </c>
      <c r="BD79" s="88"/>
      <c r="BE79" s="88"/>
      <c r="BF79" s="88"/>
      <c r="BG79" s="88"/>
      <c r="BH79" s="71"/>
      <c r="BI79" s="91"/>
      <c r="BJ79" s="88"/>
      <c r="BK79" s="94"/>
      <c r="BL79" s="88">
        <f t="shared" si="8"/>
        <v>4534.8562499999998</v>
      </c>
      <c r="BM79" s="88">
        <f t="shared" si="20"/>
        <v>104301.69374999999</v>
      </c>
      <c r="BO79" s="116">
        <v>5</v>
      </c>
    </row>
    <row r="80" spans="1:67" s="45" customFormat="1" ht="18" x14ac:dyDescent="0.35">
      <c r="A80" s="51"/>
      <c r="B80" s="77" t="s">
        <v>180</v>
      </c>
      <c r="C80" s="70" t="s">
        <v>369</v>
      </c>
      <c r="D80" s="70" t="s">
        <v>191</v>
      </c>
      <c r="E80" s="111">
        <v>18</v>
      </c>
      <c r="F80" s="70" t="s">
        <v>208</v>
      </c>
      <c r="G80" s="70" t="s">
        <v>39</v>
      </c>
      <c r="H80" s="51"/>
      <c r="I80" s="79" t="s">
        <v>198</v>
      </c>
      <c r="J80" s="80">
        <v>5.03</v>
      </c>
      <c r="K80" s="81">
        <f t="shared" si="28"/>
        <v>178031.82</v>
      </c>
      <c r="L80" s="53">
        <f t="shared" si="9"/>
        <v>24</v>
      </c>
      <c r="M80" s="79">
        <v>6</v>
      </c>
      <c r="N80" s="79">
        <v>12</v>
      </c>
      <c r="O80" s="79">
        <v>6</v>
      </c>
      <c r="P80" s="83">
        <f t="shared" si="10"/>
        <v>66761.932499999995</v>
      </c>
      <c r="Q80" s="83">
        <f t="shared" si="11"/>
        <v>133523.86499999999</v>
      </c>
      <c r="R80" s="83">
        <f t="shared" si="12"/>
        <v>66761.932499999995</v>
      </c>
      <c r="S80" s="68"/>
      <c r="T80" s="69"/>
      <c r="U80" s="69"/>
      <c r="V80" s="69"/>
      <c r="W80" s="69"/>
      <c r="X80" s="69"/>
      <c r="Y80" s="69"/>
      <c r="Z80" s="86">
        <f t="shared" si="27"/>
        <v>0</v>
      </c>
      <c r="AA80" s="85"/>
      <c r="AB80" s="83">
        <f t="shared" si="1"/>
        <v>0</v>
      </c>
      <c r="AC80" s="83">
        <v>24</v>
      </c>
      <c r="AD80" s="83">
        <f t="shared" si="13"/>
        <v>93466.705499999982</v>
      </c>
      <c r="AE80" s="133"/>
      <c r="AF80" s="132">
        <f t="shared" si="14"/>
        <v>0</v>
      </c>
      <c r="AG80" s="88">
        <v>0</v>
      </c>
      <c r="AH80" s="88">
        <f t="shared" si="23"/>
        <v>0</v>
      </c>
      <c r="AI80" s="88"/>
      <c r="AJ80" s="88"/>
      <c r="AK80" s="88">
        <v>8</v>
      </c>
      <c r="AL80" s="88">
        <f t="shared" si="24"/>
        <v>4424.25</v>
      </c>
      <c r="AM80" s="97">
        <v>8</v>
      </c>
      <c r="AN80" s="88">
        <f t="shared" si="25"/>
        <v>1769.7</v>
      </c>
      <c r="AO80" s="88"/>
      <c r="AP80" s="88"/>
      <c r="AQ80" s="88"/>
      <c r="AR80" s="88"/>
      <c r="AS80" s="89">
        <f t="shared" si="15"/>
        <v>24</v>
      </c>
      <c r="AT80" s="88">
        <f t="shared" si="16"/>
        <v>80114.318999999989</v>
      </c>
      <c r="AU80" s="88"/>
      <c r="AV80" s="88"/>
      <c r="AW80" s="88">
        <f t="shared" si="17"/>
        <v>0</v>
      </c>
      <c r="AX80" s="88"/>
      <c r="AY80" s="88">
        <f t="shared" si="18"/>
        <v>0</v>
      </c>
      <c r="AZ80" s="84"/>
      <c r="BA80" s="88"/>
      <c r="BB80" s="88"/>
      <c r="BC80" s="88">
        <f t="shared" si="19"/>
        <v>0</v>
      </c>
      <c r="BD80" s="88" t="s">
        <v>364</v>
      </c>
      <c r="BE80" s="88"/>
      <c r="BF80" s="88">
        <v>10618</v>
      </c>
      <c r="BG80" s="88"/>
      <c r="BH80" s="71"/>
      <c r="BI80" s="93"/>
      <c r="BJ80" s="88"/>
      <c r="BK80" s="94"/>
      <c r="BL80" s="88">
        <f t="shared" si="8"/>
        <v>26704.773000000001</v>
      </c>
      <c r="BM80" s="88">
        <f t="shared" si="20"/>
        <v>484145.47749999998</v>
      </c>
      <c r="BO80" s="116">
        <v>24</v>
      </c>
    </row>
    <row r="81" spans="1:67" s="45" customFormat="1" ht="18" x14ac:dyDescent="0.35">
      <c r="A81" s="51"/>
      <c r="B81" s="77" t="s">
        <v>181</v>
      </c>
      <c r="C81" s="70" t="s">
        <v>369</v>
      </c>
      <c r="D81" s="70" t="s">
        <v>191</v>
      </c>
      <c r="E81" s="111">
        <v>36.4</v>
      </c>
      <c r="F81" s="70" t="s">
        <v>212</v>
      </c>
      <c r="G81" s="70" t="s">
        <v>1</v>
      </c>
      <c r="H81" s="51"/>
      <c r="I81" s="79" t="s">
        <v>196</v>
      </c>
      <c r="J81" s="80">
        <v>5.16</v>
      </c>
      <c r="K81" s="81">
        <f t="shared" si="28"/>
        <v>182633.04</v>
      </c>
      <c r="L81" s="53">
        <f t="shared" si="9"/>
        <v>11</v>
      </c>
      <c r="M81" s="79">
        <v>2</v>
      </c>
      <c r="N81" s="79">
        <v>9</v>
      </c>
      <c r="O81" s="79"/>
      <c r="P81" s="83">
        <f t="shared" si="10"/>
        <v>22829.13</v>
      </c>
      <c r="Q81" s="83">
        <f t="shared" si="11"/>
        <v>102731.08500000001</v>
      </c>
      <c r="R81" s="83">
        <f t="shared" si="12"/>
        <v>0</v>
      </c>
      <c r="S81" s="68"/>
      <c r="T81" s="69"/>
      <c r="U81" s="69"/>
      <c r="V81" s="69"/>
      <c r="W81" s="69"/>
      <c r="X81" s="69"/>
      <c r="Y81" s="69"/>
      <c r="Z81" s="86">
        <f t="shared" si="27"/>
        <v>0</v>
      </c>
      <c r="AA81" s="85"/>
      <c r="AB81" s="83">
        <f t="shared" si="1"/>
        <v>0</v>
      </c>
      <c r="AC81" s="83"/>
      <c r="AD81" s="83">
        <f t="shared" si="13"/>
        <v>0</v>
      </c>
      <c r="AE81" s="133">
        <v>11</v>
      </c>
      <c r="AF81" s="132">
        <f t="shared" si="14"/>
        <v>37668.0645</v>
      </c>
      <c r="AG81" s="88">
        <v>0</v>
      </c>
      <c r="AH81" s="88">
        <f t="shared" si="23"/>
        <v>0</v>
      </c>
      <c r="AI81" s="88"/>
      <c r="AJ81" s="88"/>
      <c r="AK81" s="88">
        <v>11</v>
      </c>
      <c r="AL81" s="88">
        <f t="shared" si="24"/>
        <v>6083.34375</v>
      </c>
      <c r="AM81" s="97"/>
      <c r="AN81" s="88">
        <f t="shared" si="25"/>
        <v>0</v>
      </c>
      <c r="AO81" s="88"/>
      <c r="AP81" s="88"/>
      <c r="AQ81" s="88"/>
      <c r="AR81" s="88"/>
      <c r="AS81" s="89">
        <f t="shared" si="15"/>
        <v>11</v>
      </c>
      <c r="AT81" s="88">
        <f t="shared" si="16"/>
        <v>37668.0645</v>
      </c>
      <c r="AU81" s="88"/>
      <c r="AV81" s="88">
        <v>5</v>
      </c>
      <c r="AW81" s="88">
        <f t="shared" si="17"/>
        <v>2212.125</v>
      </c>
      <c r="AX81" s="88"/>
      <c r="AY81" s="88">
        <f t="shared" si="18"/>
        <v>0</v>
      </c>
      <c r="AZ81" s="84"/>
      <c r="BA81" s="88"/>
      <c r="BB81" s="88"/>
      <c r="BC81" s="88">
        <f t="shared" si="19"/>
        <v>0</v>
      </c>
      <c r="BD81" s="88"/>
      <c r="BE81" s="88"/>
      <c r="BF81" s="88"/>
      <c r="BG81" s="88"/>
      <c r="BH81" s="71"/>
      <c r="BI81" s="91"/>
      <c r="BJ81" s="88"/>
      <c r="BK81" s="94"/>
      <c r="BL81" s="88">
        <f t="shared" si="8"/>
        <v>12556.021500000003</v>
      </c>
      <c r="BM81" s="88">
        <f t="shared" si="20"/>
        <v>221747.83425000001</v>
      </c>
      <c r="BO81" s="116">
        <v>11</v>
      </c>
    </row>
    <row r="82" spans="1:67" s="45" customFormat="1" ht="18" x14ac:dyDescent="0.35">
      <c r="A82" s="51"/>
      <c r="B82" s="70" t="s">
        <v>182</v>
      </c>
      <c r="C82" s="70" t="s">
        <v>369</v>
      </c>
      <c r="D82" s="70" t="s">
        <v>193</v>
      </c>
      <c r="E82" s="109">
        <v>27.8</v>
      </c>
      <c r="F82" s="70" t="s">
        <v>204</v>
      </c>
      <c r="G82" s="70" t="s">
        <v>1</v>
      </c>
      <c r="H82" s="51"/>
      <c r="I82" s="70" t="s">
        <v>199</v>
      </c>
      <c r="J82" s="71">
        <v>4.29</v>
      </c>
      <c r="K82" s="81">
        <f t="shared" si="28"/>
        <v>151840.26</v>
      </c>
      <c r="L82" s="53">
        <f t="shared" si="9"/>
        <v>18</v>
      </c>
      <c r="M82" s="70">
        <v>18</v>
      </c>
      <c r="N82" s="70"/>
      <c r="O82" s="70"/>
      <c r="P82" s="83">
        <f t="shared" si="10"/>
        <v>170820.29250000001</v>
      </c>
      <c r="Q82" s="83">
        <f t="shared" si="11"/>
        <v>0</v>
      </c>
      <c r="R82" s="83">
        <f t="shared" si="12"/>
        <v>0</v>
      </c>
      <c r="S82" s="68"/>
      <c r="T82" s="69"/>
      <c r="U82" s="69"/>
      <c r="V82" s="69"/>
      <c r="W82" s="69"/>
      <c r="X82" s="69"/>
      <c r="Y82" s="69"/>
      <c r="Z82" s="86">
        <f t="shared" si="27"/>
        <v>0</v>
      </c>
      <c r="AA82" s="85"/>
      <c r="AB82" s="83">
        <f t="shared" si="1"/>
        <v>0</v>
      </c>
      <c r="AC82" s="83"/>
      <c r="AD82" s="83">
        <f t="shared" si="13"/>
        <v>0</v>
      </c>
      <c r="AE82" s="133">
        <v>18</v>
      </c>
      <c r="AF82" s="132">
        <f t="shared" si="14"/>
        <v>51246.087749999999</v>
      </c>
      <c r="AG82" s="88">
        <v>10</v>
      </c>
      <c r="AH82" s="88">
        <f t="shared" si="23"/>
        <v>4424.25</v>
      </c>
      <c r="AI82" s="88"/>
      <c r="AJ82" s="88"/>
      <c r="AK82" s="88"/>
      <c r="AL82" s="88">
        <f t="shared" si="24"/>
        <v>0</v>
      </c>
      <c r="AM82" s="97"/>
      <c r="AN82" s="88">
        <f t="shared" si="25"/>
        <v>0</v>
      </c>
      <c r="AO82" s="88"/>
      <c r="AP82" s="88"/>
      <c r="AQ82" s="88"/>
      <c r="AR82" s="88"/>
      <c r="AS82" s="89">
        <v>17</v>
      </c>
      <c r="AT82" s="88">
        <f t="shared" si="16"/>
        <v>48399.082875</v>
      </c>
      <c r="AU82" s="88"/>
      <c r="AV82" s="88"/>
      <c r="AW82" s="88">
        <f t="shared" si="17"/>
        <v>0</v>
      </c>
      <c r="AX82" s="88"/>
      <c r="AY82" s="88">
        <f t="shared" si="18"/>
        <v>0</v>
      </c>
      <c r="AZ82" s="84"/>
      <c r="BA82" s="88"/>
      <c r="BB82" s="88"/>
      <c r="BC82" s="88">
        <f t="shared" si="19"/>
        <v>0</v>
      </c>
      <c r="BD82" s="88" t="s">
        <v>343</v>
      </c>
      <c r="BE82" s="88">
        <v>8849</v>
      </c>
      <c r="BF82" s="88"/>
      <c r="BG82" s="88"/>
      <c r="BH82" s="71"/>
      <c r="BI82" s="91"/>
      <c r="BJ82" s="88"/>
      <c r="BK82" s="94"/>
      <c r="BL82" s="88">
        <f t="shared" si="8"/>
        <v>17082.029250000003</v>
      </c>
      <c r="BM82" s="88">
        <f t="shared" si="20"/>
        <v>300820.74237500003</v>
      </c>
      <c r="BO82" s="116">
        <v>18</v>
      </c>
    </row>
    <row r="83" spans="1:67" s="45" customFormat="1" ht="18" x14ac:dyDescent="0.35">
      <c r="A83" s="51"/>
      <c r="B83" s="70" t="s">
        <v>183</v>
      </c>
      <c r="C83" s="70" t="s">
        <v>369</v>
      </c>
      <c r="D83" s="70" t="s">
        <v>191</v>
      </c>
      <c r="E83" s="109">
        <v>32.799999999999997</v>
      </c>
      <c r="F83" s="70" t="s">
        <v>217</v>
      </c>
      <c r="G83" s="70" t="s">
        <v>39</v>
      </c>
      <c r="H83" s="51"/>
      <c r="I83" s="70" t="s">
        <v>198</v>
      </c>
      <c r="J83" s="71">
        <v>5.2</v>
      </c>
      <c r="K83" s="81">
        <f t="shared" si="28"/>
        <v>184048.80000000002</v>
      </c>
      <c r="L83" s="53">
        <f t="shared" ref="L83:L92" si="29">M83+N83+O83</f>
        <v>24</v>
      </c>
      <c r="M83" s="70"/>
      <c r="N83" s="70">
        <v>16</v>
      </c>
      <c r="O83" s="70">
        <v>8</v>
      </c>
      <c r="P83" s="83">
        <f t="shared" ref="P83:P92" si="30">K83/16*M83</f>
        <v>0</v>
      </c>
      <c r="Q83" s="83">
        <f t="shared" ref="Q83:Q92" si="31">K83/16*N83</f>
        <v>184048.80000000002</v>
      </c>
      <c r="R83" s="83">
        <f t="shared" ref="R83:R92" si="32">K83/16*O83</f>
        <v>92024.400000000009</v>
      </c>
      <c r="S83" s="68"/>
      <c r="T83" s="69"/>
      <c r="U83" s="69"/>
      <c r="V83" s="69"/>
      <c r="W83" s="69"/>
      <c r="X83" s="69"/>
      <c r="Y83" s="69"/>
      <c r="Z83" s="86">
        <f t="shared" si="27"/>
        <v>0</v>
      </c>
      <c r="AA83" s="85"/>
      <c r="AB83" s="83">
        <f t="shared" ref="AB83:AB92" si="33">K83/16*AA83*40%</f>
        <v>0</v>
      </c>
      <c r="AC83" s="83">
        <v>25</v>
      </c>
      <c r="AD83" s="83">
        <f t="shared" ref="AD83:AD92" si="34">K83/16*AC83*35%</f>
        <v>100651.6875</v>
      </c>
      <c r="AE83" s="134"/>
      <c r="AF83" s="132">
        <f t="shared" ref="AF83:AF92" si="35">K83/16*AE83*30%</f>
        <v>0</v>
      </c>
      <c r="AG83" s="88"/>
      <c r="AH83" s="88">
        <f t="shared" si="23"/>
        <v>0</v>
      </c>
      <c r="AI83" s="88"/>
      <c r="AJ83" s="88"/>
      <c r="AK83" s="88">
        <v>24</v>
      </c>
      <c r="AL83" s="88">
        <f t="shared" si="24"/>
        <v>13272.75</v>
      </c>
      <c r="AM83" s="97"/>
      <c r="AN83" s="88">
        <f t="shared" si="25"/>
        <v>0</v>
      </c>
      <c r="AO83" s="88"/>
      <c r="AP83" s="88"/>
      <c r="AQ83" s="88"/>
      <c r="AR83" s="88"/>
      <c r="AS83" s="89">
        <v>24</v>
      </c>
      <c r="AT83" s="88">
        <f t="shared" ref="AT83:AT92" si="36">K83/16*AS83*30%</f>
        <v>82821.960000000006</v>
      </c>
      <c r="AU83" s="88"/>
      <c r="AV83" s="88"/>
      <c r="AW83" s="88">
        <f t="shared" ref="AW83:AW92" si="37">17697*AV83*40%/16</f>
        <v>0</v>
      </c>
      <c r="AX83" s="88">
        <v>1</v>
      </c>
      <c r="AY83" s="88">
        <f t="shared" ref="AY83:AY92" si="38">17697*AX83*40%/16</f>
        <v>442.42500000000001</v>
      </c>
      <c r="AZ83" s="84"/>
      <c r="BA83" s="88">
        <v>1</v>
      </c>
      <c r="BB83" s="88"/>
      <c r="BC83" s="88">
        <f t="shared" ref="BC83:BC92" si="39">K83/16*BA83</f>
        <v>11503.050000000001</v>
      </c>
      <c r="BD83" s="88" t="s">
        <v>365</v>
      </c>
      <c r="BE83" s="88"/>
      <c r="BF83" s="88"/>
      <c r="BG83" s="88">
        <v>10618</v>
      </c>
      <c r="BH83" s="71"/>
      <c r="BI83" s="91"/>
      <c r="BJ83" s="88"/>
      <c r="BK83" s="94"/>
      <c r="BL83" s="88">
        <f t="shared" ref="BL83:BL92" si="40">(P83+Q83+R83)*10%</f>
        <v>27607.320000000003</v>
      </c>
      <c r="BM83" s="88">
        <f t="shared" ref="BM83:BM92" si="41">P83+Q83+R83+Z83+AB83+AD83+AF83+AH83+AL83+AN83+AT83+AW83+AY83+BC83+BE83+BF83+BG83+BH83+BI83+BJ83+BK83+BL83</f>
        <v>522990.39250000002</v>
      </c>
      <c r="BO83" s="116">
        <v>24</v>
      </c>
    </row>
    <row r="84" spans="1:67" s="45" customFormat="1" ht="18" x14ac:dyDescent="0.35">
      <c r="A84" s="51"/>
      <c r="B84" s="70" t="s">
        <v>282</v>
      </c>
      <c r="C84" s="70" t="s">
        <v>369</v>
      </c>
      <c r="D84" s="70" t="s">
        <v>191</v>
      </c>
      <c r="E84" s="109">
        <v>32.799999999999997</v>
      </c>
      <c r="F84" s="70" t="s">
        <v>217</v>
      </c>
      <c r="G84" s="70" t="s">
        <v>39</v>
      </c>
      <c r="H84" s="51"/>
      <c r="I84" s="70" t="s">
        <v>198</v>
      </c>
      <c r="J84" s="71">
        <v>5.2</v>
      </c>
      <c r="K84" s="81">
        <f t="shared" si="28"/>
        <v>184048.80000000002</v>
      </c>
      <c r="L84" s="53">
        <f t="shared" si="29"/>
        <v>4</v>
      </c>
      <c r="M84" s="70"/>
      <c r="N84" s="70"/>
      <c r="O84" s="70">
        <v>4</v>
      </c>
      <c r="P84" s="83">
        <f t="shared" si="30"/>
        <v>0</v>
      </c>
      <c r="Q84" s="83">
        <f t="shared" si="31"/>
        <v>0</v>
      </c>
      <c r="R84" s="83">
        <f t="shared" si="32"/>
        <v>46012.200000000004</v>
      </c>
      <c r="S84" s="68"/>
      <c r="T84" s="69"/>
      <c r="U84" s="69"/>
      <c r="V84" s="69"/>
      <c r="W84" s="69"/>
      <c r="X84" s="69"/>
      <c r="Y84" s="69"/>
      <c r="Z84" s="86">
        <f t="shared" si="27"/>
        <v>0</v>
      </c>
      <c r="AA84" s="85"/>
      <c r="AB84" s="83">
        <f t="shared" si="33"/>
        <v>0</v>
      </c>
      <c r="AC84" s="83">
        <v>4</v>
      </c>
      <c r="AD84" s="83">
        <f t="shared" si="34"/>
        <v>16104.27</v>
      </c>
      <c r="AE84" s="134"/>
      <c r="AF84" s="132">
        <f t="shared" si="35"/>
        <v>0</v>
      </c>
      <c r="AG84" s="88"/>
      <c r="AH84" s="88">
        <f t="shared" ref="AH84:AH92" si="42">17697/16*AG84*40%</f>
        <v>0</v>
      </c>
      <c r="AI84" s="88"/>
      <c r="AJ84" s="88"/>
      <c r="AK84" s="88">
        <v>2</v>
      </c>
      <c r="AL84" s="88">
        <f t="shared" si="24"/>
        <v>1106.0625</v>
      </c>
      <c r="AM84" s="97"/>
      <c r="AN84" s="88">
        <f t="shared" si="25"/>
        <v>0</v>
      </c>
      <c r="AO84" s="88"/>
      <c r="AP84" s="88"/>
      <c r="AQ84" s="88"/>
      <c r="AR84" s="88"/>
      <c r="AS84" s="89"/>
      <c r="AT84" s="88"/>
      <c r="AU84" s="88"/>
      <c r="AV84" s="88"/>
      <c r="AW84" s="88">
        <f t="shared" si="37"/>
        <v>0</v>
      </c>
      <c r="AX84" s="88"/>
      <c r="AY84" s="88">
        <f t="shared" si="38"/>
        <v>0</v>
      </c>
      <c r="AZ84" s="84"/>
      <c r="BA84" s="88"/>
      <c r="BB84" s="88"/>
      <c r="BC84" s="88">
        <f t="shared" si="39"/>
        <v>0</v>
      </c>
      <c r="BD84" s="88"/>
      <c r="BE84" s="88"/>
      <c r="BF84" s="88"/>
      <c r="BG84" s="88"/>
      <c r="BH84" s="71"/>
      <c r="BI84" s="91"/>
      <c r="BJ84" s="88"/>
      <c r="BK84" s="94"/>
      <c r="BL84" s="88">
        <v>0</v>
      </c>
      <c r="BM84" s="88">
        <f t="shared" si="41"/>
        <v>63222.532500000001</v>
      </c>
      <c r="BO84" s="116">
        <v>4</v>
      </c>
    </row>
    <row r="85" spans="1:67" s="45" customFormat="1" ht="18" x14ac:dyDescent="0.35">
      <c r="A85" s="51"/>
      <c r="B85" s="70" t="s">
        <v>184</v>
      </c>
      <c r="C85" s="70" t="s">
        <v>369</v>
      </c>
      <c r="D85" s="70" t="s">
        <v>191</v>
      </c>
      <c r="E85" s="109">
        <v>30.6</v>
      </c>
      <c r="F85" s="70" t="s">
        <v>211</v>
      </c>
      <c r="G85" s="70" t="s">
        <v>1</v>
      </c>
      <c r="H85" s="51"/>
      <c r="I85" s="70" t="s">
        <v>196</v>
      </c>
      <c r="J85" s="71">
        <v>5.16</v>
      </c>
      <c r="K85" s="81">
        <f t="shared" si="28"/>
        <v>182633.04</v>
      </c>
      <c r="L85" s="53">
        <f t="shared" si="29"/>
        <v>15</v>
      </c>
      <c r="M85" s="70"/>
      <c r="N85" s="70">
        <v>15</v>
      </c>
      <c r="O85" s="70">
        <v>0</v>
      </c>
      <c r="P85" s="83">
        <f t="shared" si="30"/>
        <v>0</v>
      </c>
      <c r="Q85" s="83">
        <f t="shared" si="31"/>
        <v>171218.47500000001</v>
      </c>
      <c r="R85" s="83">
        <f t="shared" si="32"/>
        <v>0</v>
      </c>
      <c r="S85" s="68"/>
      <c r="T85" s="69"/>
      <c r="U85" s="69"/>
      <c r="V85" s="69"/>
      <c r="W85" s="69"/>
      <c r="X85" s="69"/>
      <c r="Y85" s="69"/>
      <c r="Z85" s="86">
        <f t="shared" si="27"/>
        <v>0</v>
      </c>
      <c r="AA85" s="85"/>
      <c r="AB85" s="83">
        <f t="shared" si="33"/>
        <v>0</v>
      </c>
      <c r="AC85" s="83"/>
      <c r="AD85" s="83">
        <f t="shared" si="34"/>
        <v>0</v>
      </c>
      <c r="AE85" s="133">
        <v>15</v>
      </c>
      <c r="AF85" s="132">
        <f t="shared" si="35"/>
        <v>51365.542500000003</v>
      </c>
      <c r="AG85" s="88">
        <v>0</v>
      </c>
      <c r="AH85" s="88">
        <f t="shared" si="42"/>
        <v>0</v>
      </c>
      <c r="AI85" s="88"/>
      <c r="AJ85" s="88"/>
      <c r="AK85" s="88">
        <v>15</v>
      </c>
      <c r="AL85" s="88">
        <f t="shared" si="24"/>
        <v>8295.46875</v>
      </c>
      <c r="AM85" s="97"/>
      <c r="AN85" s="88">
        <f t="shared" si="25"/>
        <v>0</v>
      </c>
      <c r="AO85" s="88"/>
      <c r="AP85" s="88"/>
      <c r="AQ85" s="88"/>
      <c r="AR85" s="88"/>
      <c r="AS85" s="89">
        <f t="shared" ref="AS85:AS92" si="43">L85+BA85</f>
        <v>15</v>
      </c>
      <c r="AT85" s="88">
        <f t="shared" si="36"/>
        <v>51365.542500000003</v>
      </c>
      <c r="AU85" s="88"/>
      <c r="AV85" s="88"/>
      <c r="AW85" s="88">
        <f t="shared" si="37"/>
        <v>0</v>
      </c>
      <c r="AX85" s="88"/>
      <c r="AY85" s="88">
        <f t="shared" si="38"/>
        <v>0</v>
      </c>
      <c r="AZ85" s="84"/>
      <c r="BA85" s="88"/>
      <c r="BB85" s="88"/>
      <c r="BC85" s="88">
        <f t="shared" si="39"/>
        <v>0</v>
      </c>
      <c r="BD85" s="88"/>
      <c r="BE85" s="88"/>
      <c r="BF85" s="88"/>
      <c r="BG85" s="88"/>
      <c r="BH85" s="71"/>
      <c r="BI85" s="91"/>
      <c r="BJ85" s="88"/>
      <c r="BK85" s="94"/>
      <c r="BL85" s="88">
        <f t="shared" si="40"/>
        <v>17121.8475</v>
      </c>
      <c r="BM85" s="88">
        <f t="shared" si="41"/>
        <v>299366.87624999997</v>
      </c>
      <c r="BO85" s="116">
        <v>15</v>
      </c>
    </row>
    <row r="86" spans="1:67" s="45" customFormat="1" ht="18" x14ac:dyDescent="0.35">
      <c r="A86" s="51"/>
      <c r="B86" s="70" t="s">
        <v>185</v>
      </c>
      <c r="C86" s="70" t="s">
        <v>369</v>
      </c>
      <c r="D86" s="70" t="s">
        <v>191</v>
      </c>
      <c r="E86" s="109">
        <v>19</v>
      </c>
      <c r="F86" s="70" t="s">
        <v>213</v>
      </c>
      <c r="G86" s="70" t="s">
        <v>39</v>
      </c>
      <c r="H86" s="51"/>
      <c r="I86" s="70" t="s">
        <v>198</v>
      </c>
      <c r="J86" s="71">
        <v>5.03</v>
      </c>
      <c r="K86" s="81">
        <f t="shared" si="28"/>
        <v>178031.82</v>
      </c>
      <c r="L86" s="53">
        <f t="shared" si="29"/>
        <v>24</v>
      </c>
      <c r="M86" s="70"/>
      <c r="N86" s="70">
        <v>24</v>
      </c>
      <c r="O86" s="70"/>
      <c r="P86" s="83">
        <f t="shared" si="30"/>
        <v>0</v>
      </c>
      <c r="Q86" s="83">
        <f t="shared" si="31"/>
        <v>267047.73</v>
      </c>
      <c r="R86" s="83">
        <f t="shared" si="32"/>
        <v>0</v>
      </c>
      <c r="S86" s="68"/>
      <c r="T86" s="69"/>
      <c r="U86" s="69"/>
      <c r="V86" s="69"/>
      <c r="W86" s="69"/>
      <c r="X86" s="69"/>
      <c r="Y86" s="69"/>
      <c r="Z86" s="86">
        <f t="shared" si="27"/>
        <v>0</v>
      </c>
      <c r="AA86" s="85"/>
      <c r="AB86" s="83">
        <f t="shared" si="33"/>
        <v>0</v>
      </c>
      <c r="AC86" s="83">
        <v>24</v>
      </c>
      <c r="AD86" s="83">
        <f t="shared" si="34"/>
        <v>93466.705499999982</v>
      </c>
      <c r="AE86" s="133"/>
      <c r="AF86" s="132">
        <f t="shared" si="35"/>
        <v>0</v>
      </c>
      <c r="AG86" s="88"/>
      <c r="AH86" s="88">
        <f t="shared" si="42"/>
        <v>0</v>
      </c>
      <c r="AI86" s="88"/>
      <c r="AJ86" s="88"/>
      <c r="AK86" s="88"/>
      <c r="AL86" s="88">
        <f t="shared" si="24"/>
        <v>0</v>
      </c>
      <c r="AM86" s="97"/>
      <c r="AN86" s="88">
        <f t="shared" si="25"/>
        <v>0</v>
      </c>
      <c r="AO86" s="88"/>
      <c r="AP86" s="88"/>
      <c r="AQ86" s="88"/>
      <c r="AR86" s="88"/>
      <c r="AS86" s="89">
        <f t="shared" si="43"/>
        <v>24</v>
      </c>
      <c r="AT86" s="88">
        <f t="shared" si="36"/>
        <v>80114.318999999989</v>
      </c>
      <c r="AU86" s="88"/>
      <c r="AV86" s="88">
        <v>6</v>
      </c>
      <c r="AW86" s="88">
        <f t="shared" si="37"/>
        <v>2654.55</v>
      </c>
      <c r="AX86" s="88"/>
      <c r="AY86" s="88">
        <f t="shared" si="38"/>
        <v>0</v>
      </c>
      <c r="AZ86" s="84"/>
      <c r="BA86" s="88"/>
      <c r="BB86" s="88"/>
      <c r="BC86" s="88">
        <f t="shared" si="39"/>
        <v>0</v>
      </c>
      <c r="BD86" s="88"/>
      <c r="BE86" s="88"/>
      <c r="BF86" s="88"/>
      <c r="BG86" s="88"/>
      <c r="BH86" s="71"/>
      <c r="BI86" s="91"/>
      <c r="BJ86" s="88"/>
      <c r="BK86" s="102">
        <v>17697</v>
      </c>
      <c r="BL86" s="88">
        <f t="shared" si="40"/>
        <v>26704.773000000001</v>
      </c>
      <c r="BM86" s="88">
        <f t="shared" si="41"/>
        <v>487685.0774999999</v>
      </c>
      <c r="BO86" s="116">
        <v>24</v>
      </c>
    </row>
    <row r="87" spans="1:67" s="45" customFormat="1" ht="18" x14ac:dyDescent="0.35">
      <c r="A87" s="51"/>
      <c r="B87" s="70" t="s">
        <v>185</v>
      </c>
      <c r="C87" s="70" t="s">
        <v>369</v>
      </c>
      <c r="D87" s="70" t="s">
        <v>191</v>
      </c>
      <c r="E87" s="109">
        <v>19</v>
      </c>
      <c r="F87" s="70" t="s">
        <v>213</v>
      </c>
      <c r="G87" s="70" t="s">
        <v>39</v>
      </c>
      <c r="H87" s="51"/>
      <c r="I87" s="70" t="s">
        <v>198</v>
      </c>
      <c r="J87" s="71">
        <v>5.03</v>
      </c>
      <c r="K87" s="81">
        <f t="shared" si="28"/>
        <v>178031.82</v>
      </c>
      <c r="L87" s="53">
        <f t="shared" si="29"/>
        <v>4</v>
      </c>
      <c r="M87" s="70"/>
      <c r="N87" s="70"/>
      <c r="O87" s="70">
        <v>4</v>
      </c>
      <c r="P87" s="83">
        <f t="shared" si="30"/>
        <v>0</v>
      </c>
      <c r="Q87" s="83">
        <f t="shared" si="31"/>
        <v>0</v>
      </c>
      <c r="R87" s="83">
        <f t="shared" si="32"/>
        <v>44507.955000000002</v>
      </c>
      <c r="S87" s="68"/>
      <c r="T87" s="69"/>
      <c r="U87" s="69"/>
      <c r="V87" s="69"/>
      <c r="W87" s="69"/>
      <c r="X87" s="69"/>
      <c r="Y87" s="69"/>
      <c r="Z87" s="86">
        <f t="shared" si="27"/>
        <v>0</v>
      </c>
      <c r="AA87" s="85"/>
      <c r="AB87" s="83">
        <f t="shared" si="33"/>
        <v>0</v>
      </c>
      <c r="AC87" s="83">
        <v>4</v>
      </c>
      <c r="AD87" s="83">
        <f t="shared" si="34"/>
        <v>15577.784249999999</v>
      </c>
      <c r="AE87" s="133"/>
      <c r="AF87" s="132">
        <f t="shared" si="35"/>
        <v>0</v>
      </c>
      <c r="AG87" s="88"/>
      <c r="AH87" s="88">
        <f t="shared" si="42"/>
        <v>0</v>
      </c>
      <c r="AI87" s="88"/>
      <c r="AJ87" s="88"/>
      <c r="AK87" s="88"/>
      <c r="AL87" s="88">
        <f t="shared" si="24"/>
        <v>0</v>
      </c>
      <c r="AM87" s="97"/>
      <c r="AN87" s="88">
        <f t="shared" si="25"/>
        <v>0</v>
      </c>
      <c r="AO87" s="88"/>
      <c r="AP87" s="88"/>
      <c r="AQ87" s="88"/>
      <c r="AR87" s="88"/>
      <c r="AS87" s="89">
        <f t="shared" si="43"/>
        <v>4</v>
      </c>
      <c r="AT87" s="88">
        <f t="shared" si="36"/>
        <v>13352.386500000001</v>
      </c>
      <c r="AU87" s="88"/>
      <c r="AV87" s="88">
        <v>0</v>
      </c>
      <c r="AW87" s="88">
        <f t="shared" si="37"/>
        <v>0</v>
      </c>
      <c r="AX87" s="88"/>
      <c r="AY87" s="88">
        <f t="shared" si="38"/>
        <v>0</v>
      </c>
      <c r="AZ87" s="84"/>
      <c r="BA87" s="88"/>
      <c r="BB87" s="88"/>
      <c r="BC87" s="88">
        <f t="shared" si="39"/>
        <v>0</v>
      </c>
      <c r="BD87" s="88"/>
      <c r="BE87" s="88"/>
      <c r="BF87" s="88"/>
      <c r="BG87" s="88"/>
      <c r="BH87" s="71"/>
      <c r="BI87" s="91"/>
      <c r="BJ87" s="88"/>
      <c r="BK87" s="94"/>
      <c r="BL87" s="88">
        <f t="shared" si="40"/>
        <v>4450.7955000000002</v>
      </c>
      <c r="BM87" s="88">
        <f t="shared" si="41"/>
        <v>77888.921250000014</v>
      </c>
      <c r="BO87" s="116">
        <v>4</v>
      </c>
    </row>
    <row r="88" spans="1:67" s="45" customFormat="1" ht="18" x14ac:dyDescent="0.35">
      <c r="A88" s="51"/>
      <c r="B88" s="70" t="s">
        <v>186</v>
      </c>
      <c r="C88" s="70" t="s">
        <v>369</v>
      </c>
      <c r="D88" s="70" t="s">
        <v>191</v>
      </c>
      <c r="E88" s="109">
        <v>3</v>
      </c>
      <c r="F88" s="70" t="s">
        <v>206</v>
      </c>
      <c r="G88" s="70" t="s">
        <v>1</v>
      </c>
      <c r="H88" s="51"/>
      <c r="I88" s="70" t="s">
        <v>196</v>
      </c>
      <c r="J88" s="71">
        <v>4.59</v>
      </c>
      <c r="K88" s="81">
        <f t="shared" si="28"/>
        <v>162458.46</v>
      </c>
      <c r="L88" s="53">
        <f t="shared" si="29"/>
        <v>24</v>
      </c>
      <c r="M88" s="70"/>
      <c r="N88" s="70">
        <v>20</v>
      </c>
      <c r="O88" s="70">
        <v>4</v>
      </c>
      <c r="P88" s="83">
        <f t="shared" si="30"/>
        <v>0</v>
      </c>
      <c r="Q88" s="83">
        <f t="shared" si="31"/>
        <v>203073.07499999998</v>
      </c>
      <c r="R88" s="83">
        <f t="shared" si="32"/>
        <v>40614.614999999998</v>
      </c>
      <c r="S88" s="68"/>
      <c r="T88" s="69"/>
      <c r="U88" s="69"/>
      <c r="V88" s="69"/>
      <c r="W88" s="69"/>
      <c r="X88" s="69"/>
      <c r="Y88" s="69"/>
      <c r="Z88" s="86">
        <f t="shared" si="27"/>
        <v>0</v>
      </c>
      <c r="AA88" s="85"/>
      <c r="AB88" s="83">
        <f t="shared" si="33"/>
        <v>0</v>
      </c>
      <c r="AC88" s="83"/>
      <c r="AD88" s="83">
        <f t="shared" si="34"/>
        <v>0</v>
      </c>
      <c r="AE88" s="133">
        <v>24</v>
      </c>
      <c r="AF88" s="132">
        <f t="shared" si="35"/>
        <v>73106.307000000001</v>
      </c>
      <c r="AG88" s="88"/>
      <c r="AH88" s="88">
        <f t="shared" si="42"/>
        <v>0</v>
      </c>
      <c r="AI88" s="88"/>
      <c r="AJ88" s="88"/>
      <c r="AK88" s="88">
        <v>23</v>
      </c>
      <c r="AL88" s="88">
        <f t="shared" si="24"/>
        <v>12719.71875</v>
      </c>
      <c r="AM88" s="97"/>
      <c r="AN88" s="88">
        <f t="shared" si="25"/>
        <v>0</v>
      </c>
      <c r="AO88" s="88"/>
      <c r="AP88" s="88"/>
      <c r="AQ88" s="88"/>
      <c r="AR88" s="88"/>
      <c r="AS88" s="89">
        <v>23</v>
      </c>
      <c r="AT88" s="88">
        <f t="shared" si="36"/>
        <v>70060.21087499999</v>
      </c>
      <c r="AU88" s="88"/>
      <c r="AV88" s="88">
        <v>0</v>
      </c>
      <c r="AW88" s="88">
        <f t="shared" si="37"/>
        <v>0</v>
      </c>
      <c r="AX88" s="88"/>
      <c r="AY88" s="88">
        <f t="shared" si="38"/>
        <v>0</v>
      </c>
      <c r="AZ88" s="84"/>
      <c r="BA88" s="88"/>
      <c r="BB88" s="88"/>
      <c r="BC88" s="88">
        <f t="shared" si="39"/>
        <v>0</v>
      </c>
      <c r="BD88" s="88" t="s">
        <v>366</v>
      </c>
      <c r="BE88" s="88"/>
      <c r="BF88" s="88">
        <v>10618</v>
      </c>
      <c r="BG88" s="88"/>
      <c r="BH88" s="71"/>
      <c r="BI88" s="91"/>
      <c r="BJ88" s="88"/>
      <c r="BK88" s="94"/>
      <c r="BL88" s="88">
        <f t="shared" si="40"/>
        <v>24368.769</v>
      </c>
      <c r="BM88" s="88">
        <f t="shared" si="41"/>
        <v>434560.69562499993</v>
      </c>
      <c r="BO88" s="116">
        <v>24</v>
      </c>
    </row>
    <row r="89" spans="1:67" s="45" customFormat="1" ht="18" x14ac:dyDescent="0.35">
      <c r="A89" s="51"/>
      <c r="B89" s="70" t="s">
        <v>187</v>
      </c>
      <c r="C89" s="70" t="s">
        <v>369</v>
      </c>
      <c r="D89" s="70" t="s">
        <v>193</v>
      </c>
      <c r="E89" s="109">
        <v>16</v>
      </c>
      <c r="F89" s="70" t="s">
        <v>204</v>
      </c>
      <c r="G89" s="70" t="s">
        <v>194</v>
      </c>
      <c r="H89" s="51"/>
      <c r="I89" s="70" t="s">
        <v>201</v>
      </c>
      <c r="J89" s="71">
        <v>3.65</v>
      </c>
      <c r="K89" s="81">
        <f t="shared" si="28"/>
        <v>129188.09999999999</v>
      </c>
      <c r="L89" s="53">
        <f t="shared" si="29"/>
        <v>19</v>
      </c>
      <c r="M89" s="70">
        <v>19</v>
      </c>
      <c r="N89" s="70"/>
      <c r="O89" s="70"/>
      <c r="P89" s="83">
        <f t="shared" si="30"/>
        <v>153410.86874999999</v>
      </c>
      <c r="Q89" s="83">
        <f t="shared" si="31"/>
        <v>0</v>
      </c>
      <c r="R89" s="83">
        <f t="shared" si="32"/>
        <v>0</v>
      </c>
      <c r="S89" s="68"/>
      <c r="T89" s="69"/>
      <c r="U89" s="69"/>
      <c r="V89" s="69"/>
      <c r="W89" s="69"/>
      <c r="X89" s="69"/>
      <c r="Y89" s="69"/>
      <c r="Z89" s="86">
        <f t="shared" si="27"/>
        <v>0</v>
      </c>
      <c r="AA89" s="85"/>
      <c r="AB89" s="83">
        <f t="shared" si="33"/>
        <v>0</v>
      </c>
      <c r="AC89" s="83"/>
      <c r="AD89" s="83">
        <f t="shared" si="34"/>
        <v>0</v>
      </c>
      <c r="AE89" s="133"/>
      <c r="AF89" s="132">
        <f t="shared" si="35"/>
        <v>0</v>
      </c>
      <c r="AG89" s="88">
        <v>11</v>
      </c>
      <c r="AH89" s="88">
        <f t="shared" si="42"/>
        <v>4866.6750000000002</v>
      </c>
      <c r="AI89" s="88"/>
      <c r="AJ89" s="88"/>
      <c r="AK89" s="88"/>
      <c r="AL89" s="88">
        <f t="shared" ref="AL89:AL92" si="44">17697/16*AK89*50%</f>
        <v>0</v>
      </c>
      <c r="AM89" s="97"/>
      <c r="AN89" s="88">
        <f t="shared" si="25"/>
        <v>0</v>
      </c>
      <c r="AO89" s="88"/>
      <c r="AP89" s="88"/>
      <c r="AQ89" s="88"/>
      <c r="AR89" s="88"/>
      <c r="AS89" s="89">
        <v>18</v>
      </c>
      <c r="AT89" s="88">
        <f t="shared" si="36"/>
        <v>43600.983749999992</v>
      </c>
      <c r="AU89" s="88"/>
      <c r="AV89" s="88">
        <v>19</v>
      </c>
      <c r="AW89" s="88">
        <f t="shared" si="37"/>
        <v>8406.0750000000007</v>
      </c>
      <c r="AX89" s="88"/>
      <c r="AY89" s="88">
        <f t="shared" si="38"/>
        <v>0</v>
      </c>
      <c r="AZ89" s="84"/>
      <c r="BA89" s="88"/>
      <c r="BB89" s="88"/>
      <c r="BC89" s="88">
        <f t="shared" si="39"/>
        <v>0</v>
      </c>
      <c r="BD89" s="88" t="s">
        <v>331</v>
      </c>
      <c r="BE89" s="88">
        <v>8849</v>
      </c>
      <c r="BF89" s="88"/>
      <c r="BG89" s="88"/>
      <c r="BH89" s="71"/>
      <c r="BI89" s="91"/>
      <c r="BJ89" s="88"/>
      <c r="BK89" s="94"/>
      <c r="BL89" s="88">
        <f t="shared" si="40"/>
        <v>15341.086875000001</v>
      </c>
      <c r="BM89" s="88">
        <f t="shared" si="41"/>
        <v>234474.68937499999</v>
      </c>
      <c r="BO89" s="116">
        <v>19</v>
      </c>
    </row>
    <row r="90" spans="1:67" s="45" customFormat="1" ht="18" x14ac:dyDescent="0.35">
      <c r="A90" s="51"/>
      <c r="B90" s="70" t="s">
        <v>188</v>
      </c>
      <c r="C90" s="70" t="s">
        <v>369</v>
      </c>
      <c r="D90" s="70" t="s">
        <v>191</v>
      </c>
      <c r="E90" s="109">
        <v>18.11</v>
      </c>
      <c r="F90" s="70" t="s">
        <v>204</v>
      </c>
      <c r="G90" s="70" t="s">
        <v>39</v>
      </c>
      <c r="H90" s="51"/>
      <c r="I90" s="70" t="s">
        <v>198</v>
      </c>
      <c r="J90" s="71">
        <v>5.03</v>
      </c>
      <c r="K90" s="81">
        <f t="shared" si="28"/>
        <v>178031.82</v>
      </c>
      <c r="L90" s="53">
        <f t="shared" si="29"/>
        <v>19</v>
      </c>
      <c r="M90" s="70">
        <v>19</v>
      </c>
      <c r="N90" s="70"/>
      <c r="O90" s="70"/>
      <c r="P90" s="83">
        <f t="shared" si="30"/>
        <v>211412.78625</v>
      </c>
      <c r="Q90" s="83">
        <f t="shared" si="31"/>
        <v>0</v>
      </c>
      <c r="R90" s="83">
        <f t="shared" si="32"/>
        <v>0</v>
      </c>
      <c r="S90" s="68"/>
      <c r="T90" s="69"/>
      <c r="U90" s="69"/>
      <c r="V90" s="69"/>
      <c r="W90" s="69"/>
      <c r="X90" s="69"/>
      <c r="Y90" s="69"/>
      <c r="Z90" s="86">
        <f t="shared" si="27"/>
        <v>0</v>
      </c>
      <c r="AA90" s="85"/>
      <c r="AB90" s="83">
        <f t="shared" si="33"/>
        <v>0</v>
      </c>
      <c r="AC90" s="83">
        <v>19</v>
      </c>
      <c r="AD90" s="83">
        <f t="shared" si="34"/>
        <v>73994.475187499993</v>
      </c>
      <c r="AE90" s="133"/>
      <c r="AF90" s="132">
        <f t="shared" si="35"/>
        <v>0</v>
      </c>
      <c r="AG90" s="88">
        <v>11</v>
      </c>
      <c r="AH90" s="88">
        <f t="shared" si="42"/>
        <v>4866.6750000000002</v>
      </c>
      <c r="AI90" s="88"/>
      <c r="AJ90" s="88"/>
      <c r="AK90" s="88"/>
      <c r="AL90" s="88">
        <f t="shared" si="44"/>
        <v>0</v>
      </c>
      <c r="AM90" s="97"/>
      <c r="AN90" s="88">
        <f t="shared" si="25"/>
        <v>0</v>
      </c>
      <c r="AO90" s="88"/>
      <c r="AP90" s="88"/>
      <c r="AQ90" s="88"/>
      <c r="AR90" s="88"/>
      <c r="AS90" s="89">
        <v>18</v>
      </c>
      <c r="AT90" s="88">
        <f t="shared" si="36"/>
        <v>60085.739249999999</v>
      </c>
      <c r="AU90" s="88"/>
      <c r="AV90" s="88">
        <v>19</v>
      </c>
      <c r="AW90" s="88">
        <f t="shared" si="37"/>
        <v>8406.0750000000007</v>
      </c>
      <c r="AX90" s="88"/>
      <c r="AY90" s="88">
        <f t="shared" si="38"/>
        <v>0</v>
      </c>
      <c r="AZ90" s="84"/>
      <c r="BA90" s="88"/>
      <c r="BB90" s="88"/>
      <c r="BC90" s="88">
        <f t="shared" si="39"/>
        <v>0</v>
      </c>
      <c r="BD90" s="88" t="s">
        <v>344</v>
      </c>
      <c r="BE90" s="88">
        <v>8849</v>
      </c>
      <c r="BF90" s="88"/>
      <c r="BG90" s="88"/>
      <c r="BH90" s="71"/>
      <c r="BI90" s="93"/>
      <c r="BJ90" s="88"/>
      <c r="BK90" s="94"/>
      <c r="BL90" s="88">
        <f t="shared" si="40"/>
        <v>21141.278625000003</v>
      </c>
      <c r="BM90" s="88">
        <f t="shared" si="41"/>
        <v>388756.02931249997</v>
      </c>
      <c r="BO90" s="116">
        <v>19</v>
      </c>
    </row>
    <row r="91" spans="1:67" s="45" customFormat="1" ht="18" x14ac:dyDescent="0.35">
      <c r="A91" s="51"/>
      <c r="B91" s="70" t="s">
        <v>189</v>
      </c>
      <c r="C91" s="70" t="s">
        <v>369</v>
      </c>
      <c r="D91" s="74" t="s">
        <v>191</v>
      </c>
      <c r="E91" s="109">
        <v>15.11</v>
      </c>
      <c r="F91" s="74" t="s">
        <v>204</v>
      </c>
      <c r="G91" s="74" t="s">
        <v>39</v>
      </c>
      <c r="H91" s="51"/>
      <c r="I91" s="74" t="s">
        <v>198</v>
      </c>
      <c r="J91" s="73">
        <v>4.95</v>
      </c>
      <c r="K91" s="81">
        <f t="shared" si="28"/>
        <v>175200.30000000002</v>
      </c>
      <c r="L91" s="53">
        <f t="shared" si="29"/>
        <v>18</v>
      </c>
      <c r="M91" s="74">
        <v>18</v>
      </c>
      <c r="N91" s="74"/>
      <c r="O91" s="74"/>
      <c r="P91" s="83">
        <f t="shared" si="30"/>
        <v>197100.33750000002</v>
      </c>
      <c r="Q91" s="83">
        <f t="shared" si="31"/>
        <v>0</v>
      </c>
      <c r="R91" s="83">
        <f t="shared" si="32"/>
        <v>0</v>
      </c>
      <c r="S91" s="68"/>
      <c r="T91" s="69"/>
      <c r="U91" s="69"/>
      <c r="V91" s="69"/>
      <c r="W91" s="69"/>
      <c r="X91" s="69"/>
      <c r="Y91" s="69"/>
      <c r="Z91" s="86">
        <f t="shared" si="27"/>
        <v>0</v>
      </c>
      <c r="AA91" s="85"/>
      <c r="AB91" s="83">
        <f t="shared" si="33"/>
        <v>0</v>
      </c>
      <c r="AC91" s="83">
        <v>18</v>
      </c>
      <c r="AD91" s="83">
        <f t="shared" si="34"/>
        <v>68985.118125000008</v>
      </c>
      <c r="AE91" s="134"/>
      <c r="AF91" s="132">
        <f t="shared" si="35"/>
        <v>0</v>
      </c>
      <c r="AG91" s="88">
        <v>10</v>
      </c>
      <c r="AH91" s="88">
        <f t="shared" si="42"/>
        <v>4424.25</v>
      </c>
      <c r="AI91" s="88"/>
      <c r="AJ91" s="88"/>
      <c r="AK91" s="88"/>
      <c r="AL91" s="88">
        <f t="shared" si="44"/>
        <v>0</v>
      </c>
      <c r="AM91" s="98"/>
      <c r="AN91" s="88">
        <f t="shared" si="25"/>
        <v>0</v>
      </c>
      <c r="AO91" s="88"/>
      <c r="AP91" s="88"/>
      <c r="AQ91" s="88"/>
      <c r="AR91" s="88"/>
      <c r="AS91" s="89">
        <v>17</v>
      </c>
      <c r="AT91" s="88">
        <f t="shared" si="36"/>
        <v>55845.095625000002</v>
      </c>
      <c r="AU91" s="88"/>
      <c r="AV91" s="88"/>
      <c r="AW91" s="88">
        <f t="shared" si="37"/>
        <v>0</v>
      </c>
      <c r="AX91" s="88"/>
      <c r="AY91" s="88">
        <f t="shared" si="38"/>
        <v>0</v>
      </c>
      <c r="AZ91" s="84"/>
      <c r="BA91" s="88"/>
      <c r="BB91" s="88"/>
      <c r="BC91" s="88">
        <f t="shared" si="39"/>
        <v>0</v>
      </c>
      <c r="BD91" s="88" t="s">
        <v>345</v>
      </c>
      <c r="BE91" s="88">
        <v>8849</v>
      </c>
      <c r="BF91" s="88"/>
      <c r="BG91" s="88"/>
      <c r="BH91" s="71"/>
      <c r="BI91" s="91"/>
      <c r="BJ91" s="88"/>
      <c r="BK91" s="94"/>
      <c r="BL91" s="88">
        <f t="shared" si="40"/>
        <v>19710.033750000002</v>
      </c>
      <c r="BM91" s="88">
        <f t="shared" si="41"/>
        <v>354913.83500000008</v>
      </c>
      <c r="BO91" s="116">
        <v>18</v>
      </c>
    </row>
    <row r="92" spans="1:67" s="45" customFormat="1" ht="18" x14ac:dyDescent="0.35">
      <c r="A92" s="51"/>
      <c r="B92" s="70" t="s">
        <v>190</v>
      </c>
      <c r="C92" s="70" t="s">
        <v>369</v>
      </c>
      <c r="D92" s="74" t="s">
        <v>244</v>
      </c>
      <c r="E92" s="109">
        <v>35</v>
      </c>
      <c r="F92" s="74" t="s">
        <v>204</v>
      </c>
      <c r="G92" s="74" t="s">
        <v>39</v>
      </c>
      <c r="H92" s="51"/>
      <c r="I92" s="74" t="s">
        <v>202</v>
      </c>
      <c r="J92" s="73">
        <v>4.3899999999999997</v>
      </c>
      <c r="K92" s="81">
        <f t="shared" si="28"/>
        <v>155379.65999999997</v>
      </c>
      <c r="L92" s="53">
        <f t="shared" si="29"/>
        <v>18</v>
      </c>
      <c r="M92" s="74">
        <v>18</v>
      </c>
      <c r="N92" s="74"/>
      <c r="O92" s="74"/>
      <c r="P92" s="83">
        <f t="shared" si="30"/>
        <v>174802.11749999996</v>
      </c>
      <c r="Q92" s="83">
        <f t="shared" si="31"/>
        <v>0</v>
      </c>
      <c r="R92" s="83">
        <f t="shared" si="32"/>
        <v>0</v>
      </c>
      <c r="S92" s="68"/>
      <c r="T92" s="69"/>
      <c r="U92" s="69"/>
      <c r="V92" s="69"/>
      <c r="W92" s="69"/>
      <c r="X92" s="69"/>
      <c r="Y92" s="69"/>
      <c r="Z92" s="86">
        <f t="shared" si="27"/>
        <v>0</v>
      </c>
      <c r="AA92" s="85"/>
      <c r="AB92" s="83">
        <f t="shared" si="33"/>
        <v>0</v>
      </c>
      <c r="AC92" s="83">
        <v>18</v>
      </c>
      <c r="AD92" s="83">
        <f t="shared" si="34"/>
        <v>61180.741124999986</v>
      </c>
      <c r="AE92" s="133"/>
      <c r="AF92" s="132">
        <f t="shared" si="35"/>
        <v>0</v>
      </c>
      <c r="AG92" s="88">
        <v>12</v>
      </c>
      <c r="AH92" s="88">
        <f t="shared" si="42"/>
        <v>5309.1</v>
      </c>
      <c r="AI92" s="88"/>
      <c r="AJ92" s="88"/>
      <c r="AK92" s="88"/>
      <c r="AL92" s="88">
        <f t="shared" si="44"/>
        <v>0</v>
      </c>
      <c r="AM92" s="98"/>
      <c r="AN92" s="88">
        <f t="shared" ref="AN92" si="45">17697/16*AM92*20%</f>
        <v>0</v>
      </c>
      <c r="AO92" s="88"/>
      <c r="AP92" s="88"/>
      <c r="AQ92" s="88"/>
      <c r="AR92" s="88"/>
      <c r="AS92" s="89">
        <f t="shared" si="43"/>
        <v>18</v>
      </c>
      <c r="AT92" s="88">
        <f t="shared" si="36"/>
        <v>52440.635249999985</v>
      </c>
      <c r="AU92" s="88"/>
      <c r="AV92" s="88"/>
      <c r="AW92" s="88">
        <f t="shared" si="37"/>
        <v>0</v>
      </c>
      <c r="AX92" s="88"/>
      <c r="AY92" s="88">
        <f t="shared" si="38"/>
        <v>0</v>
      </c>
      <c r="AZ92" s="84"/>
      <c r="BA92" s="88"/>
      <c r="BB92" s="88"/>
      <c r="BC92" s="88">
        <f t="shared" si="39"/>
        <v>0</v>
      </c>
      <c r="BD92" s="88" t="s">
        <v>346</v>
      </c>
      <c r="BE92" s="88">
        <v>8849</v>
      </c>
      <c r="BF92" s="88"/>
      <c r="BG92" s="88"/>
      <c r="BH92" s="71"/>
      <c r="BI92" s="91"/>
      <c r="BJ92" s="88"/>
      <c r="BK92" s="94"/>
      <c r="BL92" s="88">
        <f t="shared" si="40"/>
        <v>17480.211749999999</v>
      </c>
      <c r="BM92" s="88">
        <f t="shared" si="41"/>
        <v>320061.80562499992</v>
      </c>
      <c r="BO92" s="116">
        <v>18</v>
      </c>
    </row>
    <row r="93" spans="1:67" s="45" customFormat="1" ht="17.399999999999999" x14ac:dyDescent="0.3">
      <c r="A93" s="51"/>
      <c r="B93" s="51"/>
      <c r="C93" s="51"/>
      <c r="D93" s="51"/>
      <c r="E93" s="52"/>
      <c r="F93" s="51"/>
      <c r="G93" s="51"/>
      <c r="H93" s="51"/>
      <c r="I93" s="54"/>
      <c r="J93" s="67"/>
      <c r="K93" s="81">
        <f t="shared" ref="K93:BE93" si="46">SUM(K18:K92)</f>
        <v>12575842.140000002</v>
      </c>
      <c r="L93" s="53">
        <f t="shared" si="46"/>
        <v>1191</v>
      </c>
      <c r="M93" s="53">
        <f t="shared" si="46"/>
        <v>400</v>
      </c>
      <c r="N93" s="53">
        <f t="shared" si="46"/>
        <v>654</v>
      </c>
      <c r="O93" s="53">
        <f t="shared" si="46"/>
        <v>137</v>
      </c>
      <c r="P93" s="53">
        <f t="shared" si="46"/>
        <v>4053630.5774999987</v>
      </c>
      <c r="Q93" s="53">
        <f t="shared" si="46"/>
        <v>6880615.7212500004</v>
      </c>
      <c r="R93" s="53">
        <f t="shared" si="46"/>
        <v>1483561.6312500001</v>
      </c>
      <c r="S93" s="53">
        <f t="shared" si="46"/>
        <v>0</v>
      </c>
      <c r="T93" s="53">
        <f t="shared" si="46"/>
        <v>0</v>
      </c>
      <c r="U93" s="53">
        <f t="shared" si="46"/>
        <v>0</v>
      </c>
      <c r="V93" s="53">
        <f t="shared" si="46"/>
        <v>0</v>
      </c>
      <c r="W93" s="53">
        <f t="shared" si="46"/>
        <v>0</v>
      </c>
      <c r="X93" s="53">
        <f t="shared" si="46"/>
        <v>0</v>
      </c>
      <c r="Y93" s="53">
        <f t="shared" si="46"/>
        <v>12</v>
      </c>
      <c r="Z93" s="53">
        <f t="shared" si="46"/>
        <v>71805.577499999999</v>
      </c>
      <c r="AA93" s="53">
        <f t="shared" si="46"/>
        <v>93</v>
      </c>
      <c r="AB93" s="53">
        <f t="shared" si="46"/>
        <v>444238.94250000006</v>
      </c>
      <c r="AC93" s="82">
        <f t="shared" si="46"/>
        <v>480</v>
      </c>
      <c r="AD93" s="82">
        <f t="shared" si="46"/>
        <v>1815469.9723124998</v>
      </c>
      <c r="AE93" s="87">
        <f t="shared" si="46"/>
        <v>388</v>
      </c>
      <c r="AF93" s="82">
        <f t="shared" si="46"/>
        <v>1204375.971375</v>
      </c>
      <c r="AG93" s="87">
        <f t="shared" si="46"/>
        <v>274</v>
      </c>
      <c r="AH93" s="87">
        <f t="shared" si="46"/>
        <v>121224.45000000004</v>
      </c>
      <c r="AI93" s="87">
        <f t="shared" si="46"/>
        <v>0</v>
      </c>
      <c r="AJ93" s="87">
        <f t="shared" si="46"/>
        <v>0</v>
      </c>
      <c r="AK93" s="87">
        <f t="shared" si="46"/>
        <v>431</v>
      </c>
      <c r="AL93" s="87">
        <f t="shared" si="46"/>
        <v>238356.46875</v>
      </c>
      <c r="AM93" s="87">
        <f t="shared" si="46"/>
        <v>51</v>
      </c>
      <c r="AN93" s="87">
        <f t="shared" si="46"/>
        <v>11281.837500000001</v>
      </c>
      <c r="AO93" s="87">
        <f t="shared" si="46"/>
        <v>0</v>
      </c>
      <c r="AP93" s="87">
        <f t="shared" si="46"/>
        <v>0</v>
      </c>
      <c r="AQ93" s="87">
        <f t="shared" si="46"/>
        <v>0</v>
      </c>
      <c r="AR93" s="87">
        <f t="shared" si="46"/>
        <v>0</v>
      </c>
      <c r="AS93" s="81">
        <f t="shared" si="46"/>
        <v>1138</v>
      </c>
      <c r="AT93" s="87">
        <f t="shared" si="46"/>
        <v>3554760.9959999998</v>
      </c>
      <c r="AU93" s="87">
        <f t="shared" si="46"/>
        <v>0</v>
      </c>
      <c r="AV93" s="87">
        <f t="shared" si="46"/>
        <v>284.5</v>
      </c>
      <c r="AW93" s="87">
        <f t="shared" si="46"/>
        <v>125869.91249999998</v>
      </c>
      <c r="AX93" s="87">
        <f t="shared" si="46"/>
        <v>32</v>
      </c>
      <c r="AY93" s="87">
        <f t="shared" si="46"/>
        <v>14157.600000000002</v>
      </c>
      <c r="AZ93" s="87">
        <f t="shared" si="46"/>
        <v>0</v>
      </c>
      <c r="BA93" s="87">
        <f t="shared" si="46"/>
        <v>32</v>
      </c>
      <c r="BB93" s="87">
        <f t="shared" si="46"/>
        <v>0</v>
      </c>
      <c r="BC93" s="87">
        <f t="shared" si="46"/>
        <v>320912.97375</v>
      </c>
      <c r="BD93" s="87">
        <f t="shared" si="46"/>
        <v>0</v>
      </c>
      <c r="BE93" s="87">
        <f t="shared" si="46"/>
        <v>141584</v>
      </c>
      <c r="BF93" s="87">
        <f t="shared" ref="BF93:BM93" si="47">SUM(BF18:BF92)</f>
        <v>201742</v>
      </c>
      <c r="BG93" s="87">
        <f t="shared" si="47"/>
        <v>42472</v>
      </c>
      <c r="BH93" s="90">
        <f t="shared" si="47"/>
        <v>0</v>
      </c>
      <c r="BI93" s="87">
        <f t="shared" si="47"/>
        <v>78640</v>
      </c>
      <c r="BJ93" s="87">
        <f t="shared" si="47"/>
        <v>0</v>
      </c>
      <c r="BK93" s="87">
        <f t="shared" si="47"/>
        <v>17697</v>
      </c>
      <c r="BL93" s="87">
        <f t="shared" si="47"/>
        <v>1202069.4556250002</v>
      </c>
      <c r="BM93" s="87">
        <f t="shared" si="47"/>
        <v>22024467.087812498</v>
      </c>
    </row>
    <row r="94" spans="1:67" s="45" customFormat="1" ht="17.399999999999999" x14ac:dyDescent="0.3">
      <c r="A94" s="55"/>
      <c r="B94" s="55"/>
      <c r="C94" s="55"/>
      <c r="D94" s="55"/>
      <c r="E94" s="56"/>
      <c r="F94" s="55"/>
      <c r="G94" s="55"/>
      <c r="H94" s="55"/>
      <c r="I94" s="57"/>
      <c r="J94" s="58"/>
      <c r="K94" s="105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106"/>
      <c r="AD94" s="106"/>
      <c r="AE94" s="107"/>
      <c r="AF94" s="106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5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8"/>
      <c r="BI94" s="107"/>
      <c r="BJ94" s="107"/>
      <c r="BK94" s="107"/>
      <c r="BL94" s="107"/>
      <c r="BM94" s="107"/>
    </row>
    <row r="95" spans="1:67" ht="18" x14ac:dyDescent="0.35">
      <c r="B95" s="281" t="s">
        <v>377</v>
      </c>
      <c r="C95" s="281"/>
      <c r="D95" s="283"/>
      <c r="E95" s="283"/>
      <c r="F95" s="281"/>
      <c r="G95" s="283"/>
      <c r="H95" s="283"/>
      <c r="I95" s="283"/>
      <c r="J95" s="283"/>
      <c r="BE95" s="101"/>
      <c r="BM95" s="8"/>
    </row>
    <row r="96" spans="1:67" ht="15.6" x14ac:dyDescent="0.3">
      <c r="BM96" s="8"/>
    </row>
    <row r="97" spans="2:65" ht="18" x14ac:dyDescent="0.35">
      <c r="B97" s="281" t="s">
        <v>378</v>
      </c>
      <c r="C97" s="282"/>
      <c r="D97" s="283"/>
      <c r="E97" s="283"/>
      <c r="F97" s="282"/>
      <c r="G97" s="283"/>
      <c r="H97" s="16"/>
      <c r="I97" s="16"/>
      <c r="J97" s="10"/>
      <c r="K97" s="6"/>
      <c r="BL97" s="110"/>
      <c r="BM97" s="8"/>
    </row>
    <row r="98" spans="2:65" ht="18" x14ac:dyDescent="0.35">
      <c r="BL98" s="110"/>
    </row>
    <row r="99" spans="2:65" ht="17.399999999999999" x14ac:dyDescent="0.3">
      <c r="BL99" s="123">
        <v>22024467</v>
      </c>
    </row>
  </sheetData>
  <mergeCells count="46">
    <mergeCell ref="AG15:AJ15"/>
    <mergeCell ref="AK15:AN15"/>
    <mergeCell ref="AO15:AR15"/>
    <mergeCell ref="AG14:AR14"/>
    <mergeCell ref="B97:G97"/>
    <mergeCell ref="B95:J95"/>
    <mergeCell ref="Y14:AF15"/>
    <mergeCell ref="F14:F16"/>
    <mergeCell ref="G14:G16"/>
    <mergeCell ref="H14:H16"/>
    <mergeCell ref="L14:L16"/>
    <mergeCell ref="M14:O15"/>
    <mergeCell ref="P14:R15"/>
    <mergeCell ref="S14:X15"/>
    <mergeCell ref="I14:I16"/>
    <mergeCell ref="J14:J16"/>
    <mergeCell ref="BM14:BM16"/>
    <mergeCell ref="AZ14:BB15"/>
    <mergeCell ref="BD14:BG15"/>
    <mergeCell ref="BH14:BH16"/>
    <mergeCell ref="BI14:BI16"/>
    <mergeCell ref="BJ14:BJ16"/>
    <mergeCell ref="BK14:BK16"/>
    <mergeCell ref="BL14:BL16"/>
    <mergeCell ref="AU14:AY14"/>
    <mergeCell ref="AS14:AT14"/>
    <mergeCell ref="BC14:BC15"/>
    <mergeCell ref="AY15:AY16"/>
    <mergeCell ref="AT15:AT16"/>
    <mergeCell ref="AU15:AU16"/>
    <mergeCell ref="AV15:AW15"/>
    <mergeCell ref="AS15:AS16"/>
    <mergeCell ref="AX15:AX16"/>
    <mergeCell ref="S1:X5"/>
    <mergeCell ref="K14:K16"/>
    <mergeCell ref="A12:G12"/>
    <mergeCell ref="A14:A16"/>
    <mergeCell ref="B14:B16"/>
    <mergeCell ref="C14:C16"/>
    <mergeCell ref="D14:D16"/>
    <mergeCell ref="E14:E16"/>
    <mergeCell ref="A11:M11"/>
    <mergeCell ref="A10:L10"/>
    <mergeCell ref="B2:D5"/>
    <mergeCell ref="F2:I5"/>
    <mergeCell ref="J2:O6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colBreaks count="2" manualBreakCount="2">
    <brk id="42" max="98" man="1"/>
    <brk id="6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91"/>
  <sheetViews>
    <sheetView view="pageLayout" topLeftCell="B40" zoomScale="42" zoomScaleNormal="71" zoomScalePageLayoutView="42" workbookViewId="0">
      <selection activeCell="B2" sqref="A2:Z91"/>
    </sheetView>
  </sheetViews>
  <sheetFormatPr defaultColWidth="9.109375" defaultRowHeight="17.399999999999999" x14ac:dyDescent="0.3"/>
  <cols>
    <col min="1" max="1" width="1.88671875" style="22" hidden="1" customWidth="1"/>
    <col min="2" max="2" width="7.6640625" style="22" customWidth="1"/>
    <col min="3" max="3" width="48.33203125" style="22" customWidth="1"/>
    <col min="4" max="4" width="21" style="22" customWidth="1"/>
    <col min="5" max="5" width="11.109375" style="23" customWidth="1"/>
    <col min="6" max="6" width="23.33203125" style="22" customWidth="1"/>
    <col min="7" max="7" width="19.5546875" style="22" customWidth="1"/>
    <col min="8" max="8" width="15.109375" style="22" customWidth="1"/>
    <col min="9" max="9" width="18.88671875" style="23" customWidth="1"/>
    <col min="10" max="10" width="13.88671875" style="22" customWidth="1"/>
    <col min="11" max="11" width="23.5546875" style="22" customWidth="1"/>
    <col min="12" max="12" width="19.6640625" style="22" customWidth="1"/>
    <col min="13" max="13" width="13.33203125" style="22" customWidth="1"/>
    <col min="14" max="14" width="14.88671875" style="22" customWidth="1"/>
    <col min="15" max="15" width="18" style="24" customWidth="1"/>
    <col min="16" max="16" width="15.33203125" style="24" customWidth="1"/>
    <col min="17" max="18" width="10.6640625" style="24" customWidth="1"/>
    <col min="19" max="19" width="17.6640625" style="24" customWidth="1"/>
    <col min="20" max="20" width="20.5546875" style="22" customWidth="1"/>
    <col min="21" max="21" width="19.44140625" style="22" customWidth="1"/>
    <col min="22" max="22" width="20.5546875" style="22" customWidth="1"/>
    <col min="23" max="24" width="14.5546875" style="22" customWidth="1"/>
    <col min="25" max="25" width="21.33203125" style="22" customWidth="1"/>
    <col min="26" max="26" width="23.33203125" style="22" customWidth="1"/>
    <col min="27" max="27" width="1.88671875" style="22" customWidth="1"/>
    <col min="28" max="16384" width="9.109375" style="22"/>
  </cols>
  <sheetData>
    <row r="2" spans="1:47" s="1" customFormat="1" ht="15" customHeight="1" x14ac:dyDescent="0.4">
      <c r="A2" s="190" t="s">
        <v>13</v>
      </c>
      <c r="B2" s="302" t="s">
        <v>381</v>
      </c>
      <c r="C2" s="302"/>
      <c r="D2" s="302"/>
      <c r="E2" s="190"/>
      <c r="F2" s="302" t="s">
        <v>382</v>
      </c>
      <c r="G2" s="302"/>
      <c r="H2" s="302"/>
      <c r="I2" s="302"/>
      <c r="J2" s="191"/>
      <c r="K2" s="191"/>
      <c r="L2" s="191"/>
      <c r="M2" s="302" t="s">
        <v>367</v>
      </c>
      <c r="N2" s="302"/>
      <c r="O2" s="302"/>
      <c r="P2" s="302"/>
      <c r="Q2" s="302"/>
      <c r="R2" s="302"/>
      <c r="S2" s="192"/>
      <c r="T2" s="192"/>
      <c r="U2" s="193"/>
      <c r="V2" s="7"/>
      <c r="AA2" s="21"/>
      <c r="AB2" s="21"/>
      <c r="AC2" s="21"/>
      <c r="AE2" s="20"/>
      <c r="AF2" s="19"/>
      <c r="AG2" s="19"/>
      <c r="AH2" s="19"/>
      <c r="AU2" s="2"/>
    </row>
    <row r="3" spans="1:47" s="1" customFormat="1" ht="17.399999999999999" customHeight="1" x14ac:dyDescent="0.4">
      <c r="A3" s="190" t="s">
        <v>122</v>
      </c>
      <c r="B3" s="302"/>
      <c r="C3" s="302"/>
      <c r="D3" s="302"/>
      <c r="E3" s="190"/>
      <c r="F3" s="302"/>
      <c r="G3" s="302"/>
      <c r="H3" s="302"/>
      <c r="I3" s="302"/>
      <c r="J3" s="191"/>
      <c r="K3" s="191"/>
      <c r="L3" s="191"/>
      <c r="M3" s="302"/>
      <c r="N3" s="302"/>
      <c r="O3" s="302"/>
      <c r="P3" s="302"/>
      <c r="Q3" s="302"/>
      <c r="R3" s="302"/>
      <c r="S3" s="192"/>
      <c r="T3" s="192"/>
      <c r="U3" s="193"/>
      <c r="V3" s="7"/>
      <c r="AA3" s="21"/>
      <c r="AB3" s="21"/>
      <c r="AC3" s="21"/>
      <c r="AE3" s="20"/>
      <c r="AF3" s="19"/>
      <c r="AG3" s="19"/>
      <c r="AH3" s="19"/>
      <c r="AU3" s="2"/>
    </row>
    <row r="4" spans="1:47" s="1" customFormat="1" ht="17.399999999999999" customHeight="1" x14ac:dyDescent="0.4">
      <c r="A4" s="190" t="s">
        <v>12</v>
      </c>
      <c r="B4" s="302"/>
      <c r="C4" s="302"/>
      <c r="D4" s="302"/>
      <c r="E4" s="190"/>
      <c r="F4" s="302"/>
      <c r="G4" s="302"/>
      <c r="H4" s="302"/>
      <c r="I4" s="302"/>
      <c r="J4" s="191"/>
      <c r="K4" s="191"/>
      <c r="L4" s="191"/>
      <c r="M4" s="302"/>
      <c r="N4" s="302"/>
      <c r="O4" s="302"/>
      <c r="P4" s="302"/>
      <c r="Q4" s="302"/>
      <c r="R4" s="302"/>
      <c r="S4" s="192"/>
      <c r="T4" s="192"/>
      <c r="U4" s="193"/>
      <c r="V4" s="7"/>
      <c r="AA4" s="21"/>
      <c r="AB4" s="21"/>
      <c r="AC4" s="21"/>
      <c r="AE4" s="20"/>
      <c r="AF4" s="19"/>
      <c r="AG4" s="19"/>
      <c r="AH4" s="19"/>
      <c r="AU4" s="2"/>
    </row>
    <row r="5" spans="1:47" s="1" customFormat="1" ht="31.5" customHeight="1" x14ac:dyDescent="0.4">
      <c r="A5" s="35" t="s">
        <v>123</v>
      </c>
      <c r="B5" s="302"/>
      <c r="C5" s="302"/>
      <c r="D5" s="302"/>
      <c r="E5" s="190"/>
      <c r="F5" s="302"/>
      <c r="G5" s="302"/>
      <c r="H5" s="302"/>
      <c r="I5" s="302"/>
      <c r="J5" s="191"/>
      <c r="K5" s="191"/>
      <c r="L5" s="191"/>
      <c r="M5" s="302"/>
      <c r="N5" s="302"/>
      <c r="O5" s="302"/>
      <c r="P5" s="302"/>
      <c r="Q5" s="302"/>
      <c r="R5" s="302"/>
      <c r="S5" s="192"/>
      <c r="T5" s="192"/>
      <c r="U5" s="193"/>
      <c r="V5" s="7"/>
      <c r="AA5" s="21"/>
      <c r="AB5" s="21"/>
      <c r="AC5" s="21"/>
      <c r="AE5" s="20"/>
      <c r="AF5" s="19"/>
      <c r="AG5" s="19"/>
      <c r="AH5" s="19"/>
      <c r="AU5" s="2"/>
    </row>
    <row r="6" spans="1:47" s="1" customFormat="1" ht="37.5" customHeight="1" x14ac:dyDescent="0.4">
      <c r="A6" s="190"/>
      <c r="B6" s="194"/>
      <c r="C6" s="190"/>
      <c r="D6" s="195" t="s">
        <v>372</v>
      </c>
      <c r="E6" s="190"/>
      <c r="F6" s="194"/>
      <c r="G6" s="190"/>
      <c r="H6" s="190"/>
      <c r="I6" s="190"/>
      <c r="J6" s="191"/>
      <c r="K6" s="191"/>
      <c r="L6" s="191"/>
      <c r="M6" s="302"/>
      <c r="N6" s="302"/>
      <c r="O6" s="302"/>
      <c r="P6" s="302"/>
      <c r="Q6" s="302"/>
      <c r="R6" s="302"/>
      <c r="S6" s="192"/>
      <c r="T6" s="192"/>
      <c r="U6" s="193"/>
      <c r="V6" s="7"/>
      <c r="AA6" s="21"/>
      <c r="AB6" s="21"/>
      <c r="AC6" s="21"/>
      <c r="AE6" s="20"/>
      <c r="AF6" s="19"/>
      <c r="AG6" s="19"/>
      <c r="AH6" s="19"/>
      <c r="AU6" s="2"/>
    </row>
    <row r="7" spans="1:47" s="1" customFormat="1" ht="43.5" customHeight="1" x14ac:dyDescent="0.4">
      <c r="A7" s="192"/>
      <c r="B7" s="196"/>
      <c r="C7" s="192"/>
      <c r="D7" s="197"/>
      <c r="E7" s="192"/>
      <c r="F7" s="196"/>
      <c r="G7" s="192"/>
      <c r="H7" s="192"/>
      <c r="I7" s="192"/>
      <c r="J7" s="192"/>
      <c r="K7" s="192"/>
      <c r="L7" s="192"/>
      <c r="M7" s="192"/>
      <c r="N7" s="192"/>
      <c r="O7" s="192"/>
      <c r="P7" s="190"/>
      <c r="Q7" s="192"/>
      <c r="R7" s="192"/>
      <c r="S7" s="192"/>
      <c r="T7" s="192"/>
      <c r="U7" s="193"/>
      <c r="V7" s="7"/>
      <c r="AE7" s="20"/>
      <c r="AF7" s="19"/>
      <c r="AG7" s="19"/>
      <c r="AH7" s="19"/>
      <c r="AU7" s="2"/>
    </row>
    <row r="8" spans="1:47" s="1" customFormat="1" ht="48.75" customHeight="1" x14ac:dyDescent="0.4">
      <c r="A8" s="198" t="s">
        <v>121</v>
      </c>
      <c r="B8" s="306" t="s">
        <v>284</v>
      </c>
      <c r="C8" s="306"/>
      <c r="D8" s="306"/>
      <c r="E8" s="306"/>
      <c r="F8" s="306"/>
      <c r="G8" s="306"/>
      <c r="H8" s="306"/>
      <c r="I8" s="307"/>
      <c r="J8" s="307"/>
      <c r="K8" s="307"/>
      <c r="L8" s="307"/>
      <c r="M8" s="192"/>
      <c r="N8" s="192"/>
      <c r="O8" s="192"/>
      <c r="P8" s="192"/>
      <c r="Q8" s="192"/>
      <c r="R8" s="192"/>
      <c r="S8" s="192"/>
      <c r="T8" s="192"/>
      <c r="U8" s="193"/>
      <c r="V8" s="7"/>
      <c r="AA8" s="19"/>
      <c r="AB8" s="19"/>
      <c r="AC8" s="19"/>
      <c r="AD8" s="19"/>
      <c r="AE8" s="20"/>
      <c r="AF8" s="19"/>
      <c r="AG8" s="19"/>
      <c r="AH8" s="19"/>
      <c r="AU8" s="2"/>
    </row>
    <row r="9" spans="1:47" s="1" customFormat="1" ht="21.75" customHeight="1" x14ac:dyDescent="0.4">
      <c r="A9" s="198"/>
      <c r="B9" s="198" t="s">
        <v>124</v>
      </c>
      <c r="C9" s="192"/>
      <c r="D9" s="197"/>
      <c r="E9" s="192"/>
      <c r="F9" s="196"/>
      <c r="G9" s="192"/>
      <c r="H9" s="192"/>
      <c r="I9" s="192"/>
      <c r="J9" s="199"/>
      <c r="K9" s="199"/>
      <c r="L9" s="192"/>
      <c r="M9" s="192"/>
      <c r="N9" s="192"/>
      <c r="O9" s="192"/>
      <c r="P9" s="192"/>
      <c r="Q9" s="192"/>
      <c r="R9" s="192"/>
      <c r="S9" s="192"/>
      <c r="T9" s="192"/>
      <c r="U9" s="193"/>
      <c r="V9" s="7"/>
      <c r="AA9" s="19"/>
      <c r="AB9" s="19"/>
      <c r="AC9" s="19"/>
      <c r="AD9" s="19"/>
      <c r="AE9" s="20"/>
      <c r="AF9" s="19"/>
      <c r="AG9" s="19"/>
      <c r="AH9" s="19"/>
      <c r="AU9" s="2"/>
    </row>
    <row r="10" spans="1:47" s="1" customFormat="1" ht="37.5" customHeight="1" x14ac:dyDescent="0.4">
      <c r="A10" s="308" t="s">
        <v>125</v>
      </c>
      <c r="B10" s="308"/>
      <c r="C10" s="308"/>
      <c r="D10" s="308"/>
      <c r="E10" s="308"/>
      <c r="F10" s="308"/>
      <c r="G10" s="308"/>
      <c r="H10" s="308"/>
      <c r="I10" s="308"/>
      <c r="J10" s="199"/>
      <c r="K10" s="199"/>
      <c r="L10" s="192"/>
      <c r="M10" s="192"/>
      <c r="N10" s="192"/>
      <c r="O10" s="192"/>
      <c r="P10" s="192"/>
      <c r="Q10" s="192"/>
      <c r="R10" s="192"/>
      <c r="S10" s="192"/>
      <c r="T10" s="192"/>
      <c r="U10" s="193"/>
      <c r="V10" s="7"/>
      <c r="AA10" s="19"/>
      <c r="AB10" s="19"/>
      <c r="AC10" s="19"/>
      <c r="AD10" s="19"/>
      <c r="AE10" s="20"/>
      <c r="AF10" s="19"/>
      <c r="AG10" s="19"/>
      <c r="AH10" s="19"/>
      <c r="AU10" s="2"/>
    </row>
    <row r="11" spans="1:47" s="7" customFormat="1" ht="38.25" customHeight="1" x14ac:dyDescent="0.4">
      <c r="A11" s="309" t="s">
        <v>126</v>
      </c>
      <c r="B11" s="309"/>
      <c r="C11" s="309"/>
      <c r="D11" s="309"/>
      <c r="E11" s="309"/>
      <c r="F11" s="309"/>
      <c r="G11" s="309"/>
      <c r="H11" s="200"/>
      <c r="I11" s="200"/>
      <c r="J11" s="201"/>
      <c r="K11" s="201"/>
      <c r="L11" s="201"/>
      <c r="M11" s="201"/>
      <c r="N11" s="201"/>
      <c r="O11" s="201"/>
      <c r="P11" s="193"/>
      <c r="Q11" s="193"/>
      <c r="R11" s="193"/>
      <c r="S11" s="193"/>
      <c r="T11" s="193"/>
      <c r="U11" s="193"/>
      <c r="AA11" s="48"/>
      <c r="AB11" s="48"/>
      <c r="AC11" s="48"/>
      <c r="AD11" s="48"/>
      <c r="AE11" s="48"/>
      <c r="AF11" s="48"/>
      <c r="AG11" s="48"/>
      <c r="AH11" s="48"/>
      <c r="AU11" s="49"/>
    </row>
    <row r="12" spans="1:47" s="7" customFormat="1" ht="58.5" customHeight="1" x14ac:dyDescent="0.4">
      <c r="A12" s="310" t="s">
        <v>127</v>
      </c>
      <c r="B12" s="310"/>
      <c r="C12" s="310"/>
      <c r="D12" s="310"/>
      <c r="E12" s="310"/>
      <c r="F12" s="310"/>
      <c r="G12" s="310"/>
      <c r="H12" s="310"/>
      <c r="I12" s="310"/>
      <c r="J12" s="201"/>
      <c r="K12" s="201"/>
      <c r="L12" s="201"/>
      <c r="M12" s="201"/>
      <c r="N12" s="201"/>
      <c r="O12" s="201"/>
      <c r="P12" s="193"/>
      <c r="Q12" s="193"/>
      <c r="R12" s="193"/>
      <c r="S12" s="193"/>
      <c r="T12" s="193"/>
      <c r="U12" s="193"/>
      <c r="AA12" s="48"/>
      <c r="AB12" s="48"/>
      <c r="AC12" s="48"/>
      <c r="AD12" s="48"/>
      <c r="AE12" s="48"/>
      <c r="AF12" s="48"/>
      <c r="AG12" s="48"/>
      <c r="AH12" s="48"/>
      <c r="AU12" s="49"/>
    </row>
    <row r="13" spans="1:47" ht="3.75" customHeight="1" thickBot="1" x14ac:dyDescent="0.4">
      <c r="C13" s="26"/>
      <c r="D13" s="26"/>
      <c r="E13" s="25"/>
      <c r="F13" s="26"/>
      <c r="G13" s="26"/>
      <c r="H13" s="26"/>
      <c r="I13" s="25"/>
      <c r="J13" s="26"/>
      <c r="K13" s="26"/>
      <c r="L13" s="26"/>
      <c r="M13" s="26"/>
      <c r="N13" s="26"/>
      <c r="O13" s="28"/>
      <c r="P13" s="28"/>
      <c r="Q13" s="28"/>
      <c r="R13" s="28"/>
      <c r="S13" s="28"/>
      <c r="T13" s="26"/>
      <c r="U13" s="26"/>
      <c r="V13" s="26"/>
      <c r="W13" s="26"/>
      <c r="X13" s="26"/>
      <c r="Y13" s="26"/>
      <c r="Z13" s="26"/>
    </row>
    <row r="14" spans="1:47" s="23" customFormat="1" ht="78.75" customHeight="1" x14ac:dyDescent="0.3">
      <c r="B14" s="292" t="s">
        <v>0</v>
      </c>
      <c r="C14" s="294" t="s">
        <v>61</v>
      </c>
      <c r="D14" s="296" t="s">
        <v>46</v>
      </c>
      <c r="E14" s="298" t="s">
        <v>47</v>
      </c>
      <c r="F14" s="298" t="s">
        <v>48</v>
      </c>
      <c r="G14" s="300" t="s">
        <v>14</v>
      </c>
      <c r="H14" s="294" t="s">
        <v>15</v>
      </c>
      <c r="I14" s="298" t="s">
        <v>49</v>
      </c>
      <c r="J14" s="298" t="s">
        <v>50</v>
      </c>
      <c r="K14" s="298" t="s">
        <v>51</v>
      </c>
      <c r="L14" s="290" t="s">
        <v>96</v>
      </c>
      <c r="M14" s="298" t="s">
        <v>62</v>
      </c>
      <c r="N14" s="298"/>
      <c r="O14" s="298"/>
      <c r="P14" s="298" t="s">
        <v>91</v>
      </c>
      <c r="Q14" s="298"/>
      <c r="R14" s="298"/>
      <c r="S14" s="298" t="s">
        <v>92</v>
      </c>
      <c r="T14" s="298" t="s">
        <v>93</v>
      </c>
      <c r="U14" s="290" t="s">
        <v>52</v>
      </c>
      <c r="V14" s="298" t="s">
        <v>95</v>
      </c>
      <c r="W14" s="298" t="s">
        <v>94</v>
      </c>
      <c r="X14" s="296" t="s">
        <v>265</v>
      </c>
      <c r="Y14" s="296" t="s">
        <v>266</v>
      </c>
      <c r="Z14" s="303" t="s">
        <v>53</v>
      </c>
    </row>
    <row r="15" spans="1:47" s="23" customFormat="1" ht="104.25" customHeight="1" x14ac:dyDescent="0.3">
      <c r="B15" s="293"/>
      <c r="C15" s="295"/>
      <c r="D15" s="297"/>
      <c r="E15" s="299"/>
      <c r="F15" s="299"/>
      <c r="G15" s="301"/>
      <c r="H15" s="295"/>
      <c r="I15" s="299"/>
      <c r="J15" s="299"/>
      <c r="K15" s="299"/>
      <c r="L15" s="291"/>
      <c r="M15" s="202">
        <v>1</v>
      </c>
      <c r="N15" s="202">
        <v>0.5</v>
      </c>
      <c r="O15" s="202">
        <v>0.3</v>
      </c>
      <c r="P15" s="203" t="s">
        <v>1</v>
      </c>
      <c r="Q15" s="203" t="s">
        <v>39</v>
      </c>
      <c r="R15" s="203" t="s">
        <v>37</v>
      </c>
      <c r="S15" s="299"/>
      <c r="T15" s="299"/>
      <c r="U15" s="291"/>
      <c r="V15" s="299"/>
      <c r="W15" s="299"/>
      <c r="X15" s="305"/>
      <c r="Y15" s="305"/>
      <c r="Z15" s="304"/>
    </row>
    <row r="16" spans="1:47" s="23" customFormat="1" ht="18.75" customHeight="1" x14ac:dyDescent="0.3">
      <c r="B16" s="204"/>
      <c r="C16" s="205"/>
      <c r="D16" s="206"/>
      <c r="E16" s="206"/>
      <c r="F16" s="206"/>
      <c r="G16" s="207"/>
      <c r="H16" s="205"/>
      <c r="I16" s="206"/>
      <c r="J16" s="206"/>
      <c r="K16" s="206"/>
      <c r="L16" s="208"/>
      <c r="M16" s="208"/>
      <c r="N16" s="208"/>
      <c r="O16" s="208"/>
      <c r="P16" s="209"/>
      <c r="Q16" s="209"/>
      <c r="R16" s="209"/>
      <c r="S16" s="206"/>
      <c r="T16" s="206"/>
      <c r="U16" s="208"/>
      <c r="V16" s="206"/>
      <c r="W16" s="206"/>
      <c r="X16" s="210"/>
      <c r="Y16" s="210"/>
      <c r="Z16" s="206"/>
    </row>
    <row r="17" spans="2:26" s="23" customFormat="1" ht="26.25" customHeight="1" x14ac:dyDescent="0.4">
      <c r="B17" s="204"/>
      <c r="C17" s="211" t="s">
        <v>218</v>
      </c>
      <c r="D17" s="212" t="s">
        <v>191</v>
      </c>
      <c r="E17" s="212">
        <v>23.1</v>
      </c>
      <c r="F17" s="212">
        <v>1</v>
      </c>
      <c r="G17" s="213" t="s">
        <v>235</v>
      </c>
      <c r="H17" s="212">
        <v>6.05</v>
      </c>
      <c r="I17" s="214">
        <f>17697*H17</f>
        <v>107066.84999999999</v>
      </c>
      <c r="J17" s="212">
        <v>2</v>
      </c>
      <c r="K17" s="214">
        <f>I17*2</f>
        <v>214133.69999999998</v>
      </c>
      <c r="L17" s="214">
        <f>K17*10%</f>
        <v>21413.37</v>
      </c>
      <c r="M17" s="214">
        <f>K17</f>
        <v>214133.69999999998</v>
      </c>
      <c r="N17" s="208"/>
      <c r="O17" s="208"/>
      <c r="P17" s="209"/>
      <c r="Q17" s="209"/>
      <c r="R17" s="209"/>
      <c r="S17" s="206"/>
      <c r="T17" s="206"/>
      <c r="U17" s="208"/>
      <c r="V17" s="206"/>
      <c r="W17" s="206"/>
      <c r="X17" s="210"/>
      <c r="Y17" s="210"/>
      <c r="Z17" s="215">
        <f t="shared" ref="Z17:Z23" si="0">K17+L17+M17+N17+O17+P17+Q17+R17</f>
        <v>449680.76999999996</v>
      </c>
    </row>
    <row r="18" spans="2:26" s="23" customFormat="1" ht="26.25" customHeight="1" x14ac:dyDescent="0.4">
      <c r="B18" s="204"/>
      <c r="C18" s="216" t="s">
        <v>246</v>
      </c>
      <c r="D18" s="212" t="s">
        <v>191</v>
      </c>
      <c r="E18" s="212">
        <v>27.6</v>
      </c>
      <c r="F18" s="212">
        <v>1</v>
      </c>
      <c r="G18" s="212" t="s">
        <v>259</v>
      </c>
      <c r="H18" s="212">
        <v>5.91</v>
      </c>
      <c r="I18" s="214">
        <f>17697*H18</f>
        <v>104589.27</v>
      </c>
      <c r="J18" s="205">
        <v>2</v>
      </c>
      <c r="K18" s="214">
        <f>I18*2</f>
        <v>209178.54</v>
      </c>
      <c r="L18" s="214">
        <f>K18*10%</f>
        <v>20917.854000000003</v>
      </c>
      <c r="M18" s="205"/>
      <c r="N18" s="205"/>
      <c r="O18" s="214">
        <f>K18*30%</f>
        <v>62753.561999999998</v>
      </c>
      <c r="P18" s="209"/>
      <c r="Q18" s="209"/>
      <c r="R18" s="209"/>
      <c r="S18" s="206"/>
      <c r="T18" s="206"/>
      <c r="U18" s="208"/>
      <c r="V18" s="206"/>
      <c r="W18" s="206"/>
      <c r="X18" s="210"/>
      <c r="Y18" s="210"/>
      <c r="Z18" s="215">
        <f t="shared" si="0"/>
        <v>292849.95600000001</v>
      </c>
    </row>
    <row r="19" spans="2:26" s="23" customFormat="1" ht="26.25" customHeight="1" x14ac:dyDescent="0.4">
      <c r="B19" s="204"/>
      <c r="C19" s="216" t="s">
        <v>247</v>
      </c>
      <c r="D19" s="212" t="s">
        <v>191</v>
      </c>
      <c r="E19" s="212">
        <v>15</v>
      </c>
      <c r="F19" s="212">
        <v>1</v>
      </c>
      <c r="G19" s="212" t="s">
        <v>259</v>
      </c>
      <c r="H19" s="212">
        <v>5.43</v>
      </c>
      <c r="I19" s="214">
        <f>17697*H19</f>
        <v>96094.709999999992</v>
      </c>
      <c r="J19" s="212">
        <v>2</v>
      </c>
      <c r="K19" s="214">
        <f>I19*2</f>
        <v>192189.41999999998</v>
      </c>
      <c r="L19" s="214">
        <f t="shared" ref="L19:L23" si="1">K19*10%</f>
        <v>19218.941999999999</v>
      </c>
      <c r="M19" s="205"/>
      <c r="N19" s="205"/>
      <c r="O19" s="214">
        <f t="shared" ref="O19:O20" si="2">K19*30%</f>
        <v>57656.825999999994</v>
      </c>
      <c r="P19" s="209"/>
      <c r="Q19" s="209"/>
      <c r="R19" s="209"/>
      <c r="S19" s="206"/>
      <c r="T19" s="206"/>
      <c r="U19" s="208"/>
      <c r="V19" s="206"/>
      <c r="W19" s="206"/>
      <c r="X19" s="210"/>
      <c r="Y19" s="210"/>
      <c r="Z19" s="215">
        <f t="shared" si="0"/>
        <v>269065.18799999997</v>
      </c>
    </row>
    <row r="20" spans="2:26" s="23" customFormat="1" ht="26.25" customHeight="1" x14ac:dyDescent="0.4">
      <c r="B20" s="204"/>
      <c r="C20" s="216" t="s">
        <v>246</v>
      </c>
      <c r="D20" s="212" t="s">
        <v>191</v>
      </c>
      <c r="E20" s="212">
        <v>30</v>
      </c>
      <c r="F20" s="212">
        <v>1</v>
      </c>
      <c r="G20" s="212" t="s">
        <v>259</v>
      </c>
      <c r="H20" s="212">
        <v>5.91</v>
      </c>
      <c r="I20" s="214">
        <f t="shared" ref="I20:I23" si="3">17697*H20</f>
        <v>104589.27</v>
      </c>
      <c r="J20" s="212">
        <v>2</v>
      </c>
      <c r="K20" s="214">
        <f t="shared" ref="K20:K23" si="4">I20*2</f>
        <v>209178.54</v>
      </c>
      <c r="L20" s="214">
        <f t="shared" si="1"/>
        <v>20917.854000000003</v>
      </c>
      <c r="M20" s="205"/>
      <c r="N20" s="205"/>
      <c r="O20" s="214">
        <f t="shared" si="2"/>
        <v>62753.561999999998</v>
      </c>
      <c r="P20" s="209"/>
      <c r="Q20" s="209"/>
      <c r="R20" s="209"/>
      <c r="S20" s="206"/>
      <c r="T20" s="206"/>
      <c r="U20" s="208"/>
      <c r="V20" s="206"/>
      <c r="W20" s="206"/>
      <c r="X20" s="210"/>
      <c r="Y20" s="210"/>
      <c r="Z20" s="215">
        <f t="shared" si="0"/>
        <v>292849.95600000001</v>
      </c>
    </row>
    <row r="21" spans="2:26" s="23" customFormat="1" ht="26.25" customHeight="1" x14ac:dyDescent="0.4">
      <c r="B21" s="204"/>
      <c r="C21" s="216" t="s">
        <v>281</v>
      </c>
      <c r="D21" s="212" t="s">
        <v>191</v>
      </c>
      <c r="E21" s="212">
        <v>24</v>
      </c>
      <c r="F21" s="212">
        <v>1</v>
      </c>
      <c r="G21" s="212" t="s">
        <v>259</v>
      </c>
      <c r="H21" s="212">
        <v>5.74</v>
      </c>
      <c r="I21" s="214">
        <f t="shared" si="3"/>
        <v>101580.78</v>
      </c>
      <c r="J21" s="212">
        <v>2</v>
      </c>
      <c r="K21" s="214">
        <f t="shared" si="4"/>
        <v>203161.56</v>
      </c>
      <c r="L21" s="214">
        <f t="shared" si="1"/>
        <v>20316.156000000003</v>
      </c>
      <c r="M21" s="205"/>
      <c r="N21" s="214">
        <f>K21*50%</f>
        <v>101580.78</v>
      </c>
      <c r="O21" s="214"/>
      <c r="P21" s="209"/>
      <c r="Q21" s="209"/>
      <c r="R21" s="209"/>
      <c r="S21" s="206"/>
      <c r="T21" s="206"/>
      <c r="U21" s="208"/>
      <c r="V21" s="206"/>
      <c r="W21" s="206"/>
      <c r="X21" s="210"/>
      <c r="Y21" s="210"/>
      <c r="Z21" s="215">
        <f t="shared" si="0"/>
        <v>325058.49600000004</v>
      </c>
    </row>
    <row r="22" spans="2:26" s="23" customFormat="1" ht="26.25" customHeight="1" x14ac:dyDescent="0.4">
      <c r="B22" s="204"/>
      <c r="C22" s="211" t="s">
        <v>219</v>
      </c>
      <c r="D22" s="212" t="s">
        <v>191</v>
      </c>
      <c r="E22" s="212">
        <v>3</v>
      </c>
      <c r="F22" s="212">
        <v>1</v>
      </c>
      <c r="G22" s="217" t="s">
        <v>236</v>
      </c>
      <c r="H22" s="212">
        <v>4.88</v>
      </c>
      <c r="I22" s="214">
        <f t="shared" si="3"/>
        <v>86361.36</v>
      </c>
      <c r="J22" s="212">
        <v>2</v>
      </c>
      <c r="K22" s="214">
        <f t="shared" si="4"/>
        <v>172722.72</v>
      </c>
      <c r="L22" s="214">
        <f t="shared" si="1"/>
        <v>17272.272000000001</v>
      </c>
      <c r="M22" s="208"/>
      <c r="N22" s="208"/>
      <c r="O22" s="208"/>
      <c r="P22" s="209"/>
      <c r="Q22" s="209"/>
      <c r="R22" s="209"/>
      <c r="S22" s="206"/>
      <c r="T22" s="206"/>
      <c r="U22" s="208"/>
      <c r="V22" s="206"/>
      <c r="W22" s="206"/>
      <c r="X22" s="210"/>
      <c r="Y22" s="210"/>
      <c r="Z22" s="215">
        <f t="shared" si="0"/>
        <v>189994.992</v>
      </c>
    </row>
    <row r="23" spans="2:26" s="23" customFormat="1" ht="26.25" customHeight="1" x14ac:dyDescent="0.4">
      <c r="B23" s="204"/>
      <c r="C23" s="211" t="s">
        <v>221</v>
      </c>
      <c r="D23" s="212" t="s">
        <v>191</v>
      </c>
      <c r="E23" s="212">
        <v>38.799999999999997</v>
      </c>
      <c r="F23" s="212">
        <v>1</v>
      </c>
      <c r="G23" s="217" t="s">
        <v>236</v>
      </c>
      <c r="H23" s="212">
        <v>5.77</v>
      </c>
      <c r="I23" s="214">
        <f t="shared" si="3"/>
        <v>102111.68999999999</v>
      </c>
      <c r="J23" s="212">
        <v>2</v>
      </c>
      <c r="K23" s="214">
        <f t="shared" si="4"/>
        <v>204223.37999999998</v>
      </c>
      <c r="L23" s="214">
        <f t="shared" si="1"/>
        <v>20422.338</v>
      </c>
      <c r="M23" s="208"/>
      <c r="N23" s="208"/>
      <c r="O23" s="208"/>
      <c r="P23" s="209"/>
      <c r="Q23" s="209"/>
      <c r="R23" s="209"/>
      <c r="S23" s="206"/>
      <c r="T23" s="206"/>
      <c r="U23" s="208"/>
      <c r="V23" s="206"/>
      <c r="W23" s="206"/>
      <c r="X23" s="210"/>
      <c r="Y23" s="210"/>
      <c r="Z23" s="215">
        <f t="shared" si="0"/>
        <v>224645.71799999996</v>
      </c>
    </row>
    <row r="24" spans="2:26" s="23" customFormat="1" ht="20.25" customHeight="1" x14ac:dyDescent="0.3">
      <c r="B24" s="204"/>
      <c r="C24" s="205"/>
      <c r="D24" s="206"/>
      <c r="E24" s="206"/>
      <c r="F24" s="206"/>
      <c r="G24" s="207"/>
      <c r="H24" s="205"/>
      <c r="I24" s="206"/>
      <c r="J24" s="206"/>
      <c r="K24" s="206"/>
      <c r="L24" s="208"/>
      <c r="M24" s="208"/>
      <c r="N24" s="208"/>
      <c r="O24" s="208"/>
      <c r="P24" s="209"/>
      <c r="Q24" s="209"/>
      <c r="R24" s="209"/>
      <c r="S24" s="206"/>
      <c r="T24" s="206"/>
      <c r="U24" s="208"/>
      <c r="V24" s="206"/>
      <c r="W24" s="206"/>
      <c r="X24" s="210"/>
      <c r="Y24" s="210"/>
      <c r="Z24" s="206"/>
    </row>
    <row r="25" spans="2:26" ht="25.5" customHeight="1" x14ac:dyDescent="0.35">
      <c r="B25" s="218"/>
      <c r="C25" s="219"/>
      <c r="D25" s="220"/>
      <c r="E25" s="221"/>
      <c r="F25" s="205">
        <f>SUM(F17:F24)</f>
        <v>7</v>
      </c>
      <c r="G25" s="205"/>
      <c r="H25" s="222"/>
      <c r="I25" s="223">
        <f>SUM(I17:I24)</f>
        <v>702393.92999999993</v>
      </c>
      <c r="J25" s="223"/>
      <c r="K25" s="224">
        <f>SUM(K17:K24)</f>
        <v>1404787.8599999999</v>
      </c>
      <c r="L25" s="215">
        <f>SUM(L17:L24)</f>
        <v>140478.78599999999</v>
      </c>
      <c r="M25" s="215">
        <f>SUM(M17:M24)</f>
        <v>214133.69999999998</v>
      </c>
      <c r="N25" s="215">
        <f>SUM(N17:N24)</f>
        <v>101580.78</v>
      </c>
      <c r="O25" s="215">
        <f>SUM(O17:O24)</f>
        <v>183163.94999999998</v>
      </c>
      <c r="P25" s="215">
        <f t="shared" ref="P25:Y25" si="5">SUM(P17:P24)</f>
        <v>0</v>
      </c>
      <c r="Q25" s="215">
        <f t="shared" si="5"/>
        <v>0</v>
      </c>
      <c r="R25" s="215">
        <f t="shared" si="5"/>
        <v>0</v>
      </c>
      <c r="S25" s="215">
        <f t="shared" si="5"/>
        <v>0</v>
      </c>
      <c r="T25" s="215">
        <f t="shared" si="5"/>
        <v>0</v>
      </c>
      <c r="U25" s="215">
        <f t="shared" si="5"/>
        <v>0</v>
      </c>
      <c r="V25" s="215">
        <f t="shared" si="5"/>
        <v>0</v>
      </c>
      <c r="W25" s="215">
        <f t="shared" si="5"/>
        <v>0</v>
      </c>
      <c r="X25" s="215">
        <f t="shared" si="5"/>
        <v>0</v>
      </c>
      <c r="Y25" s="215">
        <f t="shared" si="5"/>
        <v>0</v>
      </c>
      <c r="Z25" s="225">
        <f>SUM(Z17:Z24)</f>
        <v>2044145.0760000001</v>
      </c>
    </row>
    <row r="26" spans="2:26" ht="59.25" customHeight="1" x14ac:dyDescent="0.35">
      <c r="B26" s="218"/>
      <c r="C26" s="226" t="s">
        <v>54</v>
      </c>
      <c r="D26" s="205">
        <f>D25</f>
        <v>0</v>
      </c>
      <c r="E26" s="227">
        <f>E25</f>
        <v>0</v>
      </c>
      <c r="F26" s="205">
        <f t="shared" ref="F26:Z26" si="6">F25</f>
        <v>7</v>
      </c>
      <c r="G26" s="205">
        <f t="shared" si="6"/>
        <v>0</v>
      </c>
      <c r="H26" s="205">
        <f t="shared" si="6"/>
        <v>0</v>
      </c>
      <c r="I26" s="223">
        <f t="shared" si="6"/>
        <v>702393.92999999993</v>
      </c>
      <c r="J26" s="205">
        <f t="shared" si="6"/>
        <v>0</v>
      </c>
      <c r="K26" s="205">
        <f t="shared" si="6"/>
        <v>1404787.8599999999</v>
      </c>
      <c r="L26" s="205">
        <f t="shared" si="6"/>
        <v>140478.78599999999</v>
      </c>
      <c r="M26" s="205">
        <f t="shared" si="6"/>
        <v>214133.69999999998</v>
      </c>
      <c r="N26" s="223">
        <f t="shared" si="6"/>
        <v>101580.78</v>
      </c>
      <c r="O26" s="205">
        <f t="shared" si="6"/>
        <v>183163.94999999998</v>
      </c>
      <c r="P26" s="205">
        <f t="shared" si="6"/>
        <v>0</v>
      </c>
      <c r="Q26" s="205">
        <f t="shared" si="6"/>
        <v>0</v>
      </c>
      <c r="R26" s="205">
        <f t="shared" si="6"/>
        <v>0</v>
      </c>
      <c r="S26" s="205">
        <f t="shared" si="6"/>
        <v>0</v>
      </c>
      <c r="T26" s="205">
        <f t="shared" si="6"/>
        <v>0</v>
      </c>
      <c r="U26" s="205">
        <f t="shared" si="6"/>
        <v>0</v>
      </c>
      <c r="V26" s="205">
        <f t="shared" si="6"/>
        <v>0</v>
      </c>
      <c r="W26" s="205">
        <f t="shared" si="6"/>
        <v>0</v>
      </c>
      <c r="X26" s="205">
        <f t="shared" si="6"/>
        <v>0</v>
      </c>
      <c r="Y26" s="205">
        <f t="shared" si="6"/>
        <v>0</v>
      </c>
      <c r="Z26" s="223">
        <f t="shared" si="6"/>
        <v>2044145.0760000001</v>
      </c>
    </row>
    <row r="27" spans="2:26" ht="28.5" customHeight="1" x14ac:dyDescent="0.35">
      <c r="B27" s="218"/>
      <c r="C27" s="226"/>
      <c r="D27" s="205"/>
      <c r="E27" s="227"/>
      <c r="F27" s="205"/>
      <c r="G27" s="205"/>
      <c r="H27" s="205"/>
      <c r="I27" s="223"/>
      <c r="J27" s="205"/>
      <c r="K27" s="205"/>
      <c r="L27" s="205"/>
      <c r="M27" s="205"/>
      <c r="N27" s="223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23"/>
    </row>
    <row r="28" spans="2:26" ht="28.5" customHeight="1" x14ac:dyDescent="0.4">
      <c r="B28" s="218"/>
      <c r="C28" s="216" t="s">
        <v>248</v>
      </c>
      <c r="D28" s="212" t="s">
        <v>191</v>
      </c>
      <c r="E28" s="212">
        <v>19</v>
      </c>
      <c r="F28" s="212">
        <v>1</v>
      </c>
      <c r="G28" s="212" t="s">
        <v>197</v>
      </c>
      <c r="H28" s="212">
        <v>4.59</v>
      </c>
      <c r="I28" s="214">
        <f t="shared" ref="I28:I39" si="7">17697*H28</f>
        <v>81229.23</v>
      </c>
      <c r="J28" s="212">
        <v>2</v>
      </c>
      <c r="K28" s="214">
        <f t="shared" ref="K28:K30" si="8">I28*2</f>
        <v>162458.46</v>
      </c>
      <c r="L28" s="214">
        <f t="shared" ref="L28:L39" si="9">K28*10%</f>
        <v>16245.846</v>
      </c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23">
        <f t="shared" ref="Z28:Z39" si="10">K28+L28+M28+N28+O28+P28+Q28+R28+S28+T28+U28+V28</f>
        <v>178704.30599999998</v>
      </c>
    </row>
    <row r="29" spans="2:26" ht="28.5" customHeight="1" x14ac:dyDescent="0.4">
      <c r="B29" s="218"/>
      <c r="C29" s="216" t="s">
        <v>249</v>
      </c>
      <c r="D29" s="212" t="s">
        <v>191</v>
      </c>
      <c r="E29" s="212">
        <v>7.2</v>
      </c>
      <c r="F29" s="212">
        <v>1</v>
      </c>
      <c r="G29" s="212" t="s">
        <v>197</v>
      </c>
      <c r="H29" s="212">
        <v>4.33</v>
      </c>
      <c r="I29" s="214">
        <f t="shared" si="7"/>
        <v>76628.009999999995</v>
      </c>
      <c r="J29" s="212">
        <v>2</v>
      </c>
      <c r="K29" s="214">
        <f t="shared" si="8"/>
        <v>153256.01999999999</v>
      </c>
      <c r="L29" s="214">
        <f t="shared" si="9"/>
        <v>15325.601999999999</v>
      </c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23">
        <f t="shared" si="10"/>
        <v>168581.62199999997</v>
      </c>
    </row>
    <row r="30" spans="2:26" ht="28.5" customHeight="1" x14ac:dyDescent="0.4">
      <c r="B30" s="218"/>
      <c r="C30" s="216" t="s">
        <v>249</v>
      </c>
      <c r="D30" s="212" t="s">
        <v>191</v>
      </c>
      <c r="E30" s="212">
        <v>4</v>
      </c>
      <c r="F30" s="212">
        <v>1</v>
      </c>
      <c r="G30" s="212" t="s">
        <v>197</v>
      </c>
      <c r="H30" s="212">
        <v>4.2300000000000004</v>
      </c>
      <c r="I30" s="214">
        <f t="shared" si="7"/>
        <v>74858.310000000012</v>
      </c>
      <c r="J30" s="212">
        <v>2</v>
      </c>
      <c r="K30" s="214">
        <f t="shared" si="8"/>
        <v>149716.62000000002</v>
      </c>
      <c r="L30" s="214">
        <f t="shared" si="9"/>
        <v>14971.662000000004</v>
      </c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23">
        <f t="shared" si="10"/>
        <v>164688.28200000004</v>
      </c>
    </row>
    <row r="31" spans="2:26" ht="28.5" customHeight="1" x14ac:dyDescent="0.4">
      <c r="B31" s="218"/>
      <c r="C31" s="216" t="s">
        <v>250</v>
      </c>
      <c r="D31" s="212" t="s">
        <v>191</v>
      </c>
      <c r="E31" s="212">
        <v>10.8</v>
      </c>
      <c r="F31" s="212">
        <v>1</v>
      </c>
      <c r="G31" s="212" t="s">
        <v>260</v>
      </c>
      <c r="H31" s="212">
        <v>4.21</v>
      </c>
      <c r="I31" s="214">
        <f t="shared" si="7"/>
        <v>74504.37</v>
      </c>
      <c r="J31" s="212">
        <v>2.6</v>
      </c>
      <c r="K31" s="214">
        <f>I31*2.6</f>
        <v>193711.36199999999</v>
      </c>
      <c r="L31" s="214">
        <f t="shared" si="9"/>
        <v>19371.136200000001</v>
      </c>
      <c r="M31" s="205"/>
      <c r="N31" s="205"/>
      <c r="O31" s="205"/>
      <c r="P31" s="214">
        <f>K31*30%</f>
        <v>58113.408599999995</v>
      </c>
      <c r="Q31" s="205"/>
      <c r="R31" s="205"/>
      <c r="S31" s="205"/>
      <c r="T31" s="205"/>
      <c r="U31" s="205"/>
      <c r="V31" s="214"/>
      <c r="W31" s="205"/>
      <c r="X31" s="205"/>
      <c r="Y31" s="205"/>
      <c r="Z31" s="223">
        <f t="shared" si="10"/>
        <v>271195.9068</v>
      </c>
    </row>
    <row r="32" spans="2:26" ht="28.5" customHeight="1" x14ac:dyDescent="0.4">
      <c r="B32" s="218"/>
      <c r="C32" s="216" t="s">
        <v>250</v>
      </c>
      <c r="D32" s="212" t="s">
        <v>191</v>
      </c>
      <c r="E32" s="212">
        <v>38.9</v>
      </c>
      <c r="F32" s="212">
        <v>1</v>
      </c>
      <c r="G32" s="212" t="s">
        <v>199</v>
      </c>
      <c r="H32" s="212">
        <v>4.29</v>
      </c>
      <c r="I32" s="214">
        <f t="shared" si="7"/>
        <v>75920.13</v>
      </c>
      <c r="J32" s="212">
        <v>2.6</v>
      </c>
      <c r="K32" s="214">
        <f t="shared" ref="K32:K33" si="11">I32*2.6</f>
        <v>197392.33800000002</v>
      </c>
      <c r="L32" s="214">
        <f t="shared" si="9"/>
        <v>19739.233800000002</v>
      </c>
      <c r="M32" s="205"/>
      <c r="N32" s="205"/>
      <c r="O32" s="205"/>
      <c r="P32" s="214">
        <f t="shared" ref="P32:P33" si="12">K32*30%</f>
        <v>59217.701400000005</v>
      </c>
      <c r="Q32" s="205"/>
      <c r="R32" s="205"/>
      <c r="S32" s="205"/>
      <c r="T32" s="205"/>
      <c r="U32" s="205"/>
      <c r="V32" s="214"/>
      <c r="W32" s="205"/>
      <c r="X32" s="205"/>
      <c r="Y32" s="205"/>
      <c r="Z32" s="223">
        <f t="shared" si="10"/>
        <v>276349.27320000005</v>
      </c>
    </row>
    <row r="33" spans="2:26" ht="28.5" customHeight="1" x14ac:dyDescent="0.4">
      <c r="B33" s="218"/>
      <c r="C33" s="216" t="s">
        <v>250</v>
      </c>
      <c r="D33" s="212" t="s">
        <v>191</v>
      </c>
      <c r="E33" s="212">
        <v>32.200000000000003</v>
      </c>
      <c r="F33" s="212">
        <v>1</v>
      </c>
      <c r="G33" s="212" t="s">
        <v>199</v>
      </c>
      <c r="H33" s="212">
        <v>4.29</v>
      </c>
      <c r="I33" s="214">
        <f t="shared" si="7"/>
        <v>75920.13</v>
      </c>
      <c r="J33" s="212">
        <v>2.6</v>
      </c>
      <c r="K33" s="214">
        <f t="shared" si="11"/>
        <v>197392.33800000002</v>
      </c>
      <c r="L33" s="214">
        <f t="shared" si="9"/>
        <v>19739.233800000002</v>
      </c>
      <c r="M33" s="205"/>
      <c r="N33" s="205"/>
      <c r="O33" s="205"/>
      <c r="P33" s="214">
        <f t="shared" si="12"/>
        <v>59217.701400000005</v>
      </c>
      <c r="Q33" s="205"/>
      <c r="R33" s="205"/>
      <c r="S33" s="205"/>
      <c r="T33" s="205"/>
      <c r="U33" s="205"/>
      <c r="V33" s="214"/>
      <c r="W33" s="205"/>
      <c r="X33" s="205"/>
      <c r="Y33" s="205"/>
      <c r="Z33" s="223">
        <f t="shared" si="10"/>
        <v>276349.27320000005</v>
      </c>
    </row>
    <row r="34" spans="2:26" ht="28.5" customHeight="1" x14ac:dyDescent="0.4">
      <c r="B34" s="218"/>
      <c r="C34" s="216" t="s">
        <v>251</v>
      </c>
      <c r="D34" s="212" t="s">
        <v>191</v>
      </c>
      <c r="E34" s="212">
        <v>6</v>
      </c>
      <c r="F34" s="212">
        <v>0.5</v>
      </c>
      <c r="G34" s="212" t="s">
        <v>261</v>
      </c>
      <c r="H34" s="212">
        <v>3.78</v>
      </c>
      <c r="I34" s="214">
        <f>17697*H34/2</f>
        <v>33447.33</v>
      </c>
      <c r="J34" s="212">
        <v>2</v>
      </c>
      <c r="K34" s="214">
        <f>I34*2</f>
        <v>66894.66</v>
      </c>
      <c r="L34" s="214">
        <f t="shared" si="9"/>
        <v>6689.4660000000003</v>
      </c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23">
        <f t="shared" si="10"/>
        <v>73584.126000000004</v>
      </c>
    </row>
    <row r="35" spans="2:26" ht="28.5" customHeight="1" x14ac:dyDescent="0.4">
      <c r="B35" s="218"/>
      <c r="C35" s="216" t="s">
        <v>251</v>
      </c>
      <c r="D35" s="212" t="s">
        <v>191</v>
      </c>
      <c r="E35" s="212">
        <v>27.6</v>
      </c>
      <c r="F35" s="212">
        <v>0.5</v>
      </c>
      <c r="G35" s="212" t="s">
        <v>261</v>
      </c>
      <c r="H35" s="212">
        <v>4.1900000000000004</v>
      </c>
      <c r="I35" s="214">
        <f>17697*H35/2</f>
        <v>37075.215000000004</v>
      </c>
      <c r="J35" s="212">
        <v>2</v>
      </c>
      <c r="K35" s="214">
        <f>I35*2</f>
        <v>74150.430000000008</v>
      </c>
      <c r="L35" s="214">
        <f t="shared" si="9"/>
        <v>7415.0430000000015</v>
      </c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23">
        <f t="shared" si="10"/>
        <v>81565.473000000013</v>
      </c>
    </row>
    <row r="36" spans="2:26" ht="28.5" customHeight="1" x14ac:dyDescent="0.4">
      <c r="B36" s="218"/>
      <c r="C36" s="216" t="s">
        <v>252</v>
      </c>
      <c r="D36" s="212" t="s">
        <v>191</v>
      </c>
      <c r="E36" s="212">
        <v>6</v>
      </c>
      <c r="F36" s="212">
        <v>1</v>
      </c>
      <c r="G36" s="212" t="s">
        <v>261</v>
      </c>
      <c r="H36" s="212">
        <v>3.78</v>
      </c>
      <c r="I36" s="214">
        <f t="shared" si="7"/>
        <v>66894.66</v>
      </c>
      <c r="J36" s="212">
        <v>2</v>
      </c>
      <c r="K36" s="214">
        <f>I36*2</f>
        <v>133789.32</v>
      </c>
      <c r="L36" s="214">
        <f t="shared" si="9"/>
        <v>13378.932000000001</v>
      </c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23">
        <f t="shared" si="10"/>
        <v>147168.25200000001</v>
      </c>
    </row>
    <row r="37" spans="2:26" ht="28.5" customHeight="1" x14ac:dyDescent="0.4">
      <c r="B37" s="218"/>
      <c r="C37" s="216" t="s">
        <v>253</v>
      </c>
      <c r="D37" s="212" t="s">
        <v>264</v>
      </c>
      <c r="E37" s="212">
        <v>0</v>
      </c>
      <c r="F37" s="212">
        <v>1</v>
      </c>
      <c r="G37" s="212" t="s">
        <v>261</v>
      </c>
      <c r="H37" s="212">
        <v>3.52</v>
      </c>
      <c r="I37" s="214">
        <f t="shared" si="7"/>
        <v>62293.440000000002</v>
      </c>
      <c r="J37" s="212">
        <v>2</v>
      </c>
      <c r="K37" s="214">
        <f t="shared" ref="K37:K39" si="13">I37*2</f>
        <v>124586.88</v>
      </c>
      <c r="L37" s="214">
        <f t="shared" si="9"/>
        <v>12458.688000000002</v>
      </c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23">
        <f t="shared" si="10"/>
        <v>137045.568</v>
      </c>
    </row>
    <row r="38" spans="2:26" ht="28.5" customHeight="1" x14ac:dyDescent="0.4">
      <c r="B38" s="218"/>
      <c r="C38" s="216" t="s">
        <v>254</v>
      </c>
      <c r="D38" s="212" t="s">
        <v>191</v>
      </c>
      <c r="E38" s="212">
        <v>27.4</v>
      </c>
      <c r="F38" s="212">
        <v>1</v>
      </c>
      <c r="G38" s="212" t="s">
        <v>200</v>
      </c>
      <c r="H38" s="212">
        <v>5.41</v>
      </c>
      <c r="I38" s="214">
        <f t="shared" si="7"/>
        <v>95740.77</v>
      </c>
      <c r="J38" s="212">
        <v>2</v>
      </c>
      <c r="K38" s="214">
        <f t="shared" si="13"/>
        <v>191481.54</v>
      </c>
      <c r="L38" s="214">
        <f t="shared" si="9"/>
        <v>19148.154000000002</v>
      </c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23">
        <f t="shared" si="10"/>
        <v>210629.69400000002</v>
      </c>
    </row>
    <row r="39" spans="2:26" ht="28.5" customHeight="1" x14ac:dyDescent="0.4">
      <c r="B39" s="218"/>
      <c r="C39" s="216" t="s">
        <v>255</v>
      </c>
      <c r="D39" s="212" t="s">
        <v>191</v>
      </c>
      <c r="E39" s="212">
        <v>0</v>
      </c>
      <c r="F39" s="212">
        <v>1</v>
      </c>
      <c r="G39" s="212" t="s">
        <v>197</v>
      </c>
      <c r="H39" s="212">
        <v>4.0999999999999996</v>
      </c>
      <c r="I39" s="214">
        <f t="shared" si="7"/>
        <v>72557.7</v>
      </c>
      <c r="J39" s="212">
        <v>2</v>
      </c>
      <c r="K39" s="214">
        <f t="shared" si="13"/>
        <v>145115.4</v>
      </c>
      <c r="L39" s="214">
        <f t="shared" si="9"/>
        <v>14511.54</v>
      </c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23">
        <f t="shared" si="10"/>
        <v>159626.94</v>
      </c>
    </row>
    <row r="40" spans="2:26" ht="26.4" customHeight="1" x14ac:dyDescent="0.35">
      <c r="B40" s="218"/>
      <c r="C40" s="226"/>
      <c r="D40" s="228"/>
      <c r="E40" s="223"/>
      <c r="F40" s="229">
        <f>SUM(F28:F39)</f>
        <v>11</v>
      </c>
      <c r="G40" s="223"/>
      <c r="H40" s="223"/>
      <c r="I40" s="223">
        <f>SUM(I28:I39)</f>
        <v>827069.29499999993</v>
      </c>
      <c r="J40" s="223"/>
      <c r="K40" s="223">
        <f>SUM(K28:K39)</f>
        <v>1789945.3679999998</v>
      </c>
      <c r="L40" s="223">
        <f>SUM(L28:L39)</f>
        <v>178994.53680000003</v>
      </c>
      <c r="M40" s="223">
        <f t="shared" ref="M40:Y40" si="14">SUM(M28:M39)</f>
        <v>0</v>
      </c>
      <c r="N40" s="223">
        <f t="shared" si="14"/>
        <v>0</v>
      </c>
      <c r="O40" s="223">
        <f t="shared" si="14"/>
        <v>0</v>
      </c>
      <c r="P40" s="223">
        <f t="shared" si="14"/>
        <v>176548.81140000001</v>
      </c>
      <c r="Q40" s="223">
        <f t="shared" si="14"/>
        <v>0</v>
      </c>
      <c r="R40" s="223">
        <f t="shared" si="14"/>
        <v>0</v>
      </c>
      <c r="S40" s="223">
        <f t="shared" si="14"/>
        <v>0</v>
      </c>
      <c r="T40" s="223">
        <f t="shared" si="14"/>
        <v>0</v>
      </c>
      <c r="U40" s="223">
        <f t="shared" si="14"/>
        <v>0</v>
      </c>
      <c r="V40" s="223">
        <f t="shared" si="14"/>
        <v>0</v>
      </c>
      <c r="W40" s="223">
        <f t="shared" si="14"/>
        <v>0</v>
      </c>
      <c r="X40" s="223">
        <f t="shared" si="14"/>
        <v>0</v>
      </c>
      <c r="Y40" s="223">
        <f t="shared" si="14"/>
        <v>0</v>
      </c>
      <c r="Z40" s="225">
        <f>SUM(Z28:Z39)</f>
        <v>2145488.7162000001</v>
      </c>
    </row>
    <row r="41" spans="2:26" ht="20.25" customHeight="1" x14ac:dyDescent="0.35">
      <c r="B41" s="218"/>
      <c r="C41" s="230" t="s">
        <v>55</v>
      </c>
      <c r="D41" s="205">
        <f>D40</f>
        <v>0</v>
      </c>
      <c r="E41" s="205">
        <f t="shared" ref="E41:Z41" si="15">E40</f>
        <v>0</v>
      </c>
      <c r="F41" s="205">
        <f t="shared" si="15"/>
        <v>11</v>
      </c>
      <c r="G41" s="205">
        <f t="shared" si="15"/>
        <v>0</v>
      </c>
      <c r="H41" s="205">
        <f t="shared" si="15"/>
        <v>0</v>
      </c>
      <c r="I41" s="223">
        <f t="shared" si="15"/>
        <v>827069.29499999993</v>
      </c>
      <c r="J41" s="205">
        <f t="shared" si="15"/>
        <v>0</v>
      </c>
      <c r="K41" s="205">
        <f t="shared" si="15"/>
        <v>1789945.3679999998</v>
      </c>
      <c r="L41" s="223">
        <f t="shared" si="15"/>
        <v>178994.53680000003</v>
      </c>
      <c r="M41" s="205">
        <f t="shared" si="15"/>
        <v>0</v>
      </c>
      <c r="N41" s="205">
        <f t="shared" si="15"/>
        <v>0</v>
      </c>
      <c r="O41" s="205">
        <f t="shared" si="15"/>
        <v>0</v>
      </c>
      <c r="P41" s="205">
        <f t="shared" si="15"/>
        <v>176548.81140000001</v>
      </c>
      <c r="Q41" s="205">
        <f t="shared" si="15"/>
        <v>0</v>
      </c>
      <c r="R41" s="205">
        <f t="shared" si="15"/>
        <v>0</v>
      </c>
      <c r="S41" s="205">
        <f t="shared" si="15"/>
        <v>0</v>
      </c>
      <c r="T41" s="205">
        <f t="shared" si="15"/>
        <v>0</v>
      </c>
      <c r="U41" s="205">
        <f t="shared" si="15"/>
        <v>0</v>
      </c>
      <c r="V41" s="223">
        <f t="shared" si="15"/>
        <v>0</v>
      </c>
      <c r="W41" s="205">
        <f t="shared" si="15"/>
        <v>0</v>
      </c>
      <c r="X41" s="205">
        <f t="shared" si="15"/>
        <v>0</v>
      </c>
      <c r="Y41" s="205">
        <f t="shared" si="15"/>
        <v>0</v>
      </c>
      <c r="Z41" s="223">
        <f t="shared" si="15"/>
        <v>2145488.7162000001</v>
      </c>
    </row>
    <row r="42" spans="2:26" ht="20.25" customHeight="1" x14ac:dyDescent="0.35">
      <c r="B42" s="218"/>
      <c r="C42" s="230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</row>
    <row r="43" spans="2:26" ht="20.25" customHeight="1" x14ac:dyDescent="0.4">
      <c r="B43" s="218"/>
      <c r="C43" s="216" t="s">
        <v>256</v>
      </c>
      <c r="D43" s="212" t="s">
        <v>191</v>
      </c>
      <c r="E43" s="212">
        <v>17</v>
      </c>
      <c r="F43" s="212">
        <v>1</v>
      </c>
      <c r="G43" s="212" t="s">
        <v>262</v>
      </c>
      <c r="H43" s="212">
        <v>5.09</v>
      </c>
      <c r="I43" s="214">
        <f t="shared" ref="I43:I51" si="16">17697*H43</f>
        <v>90077.73</v>
      </c>
      <c r="J43" s="212">
        <v>2</v>
      </c>
      <c r="K43" s="214">
        <f>I43*2</f>
        <v>180155.46</v>
      </c>
      <c r="L43" s="214">
        <f t="shared" ref="L43:L52" si="17">K43*10%</f>
        <v>18015.545999999998</v>
      </c>
      <c r="M43" s="205"/>
      <c r="N43" s="205"/>
      <c r="O43" s="205"/>
      <c r="P43" s="205"/>
      <c r="Q43" s="205"/>
      <c r="R43" s="205"/>
      <c r="S43" s="205"/>
      <c r="T43" s="205"/>
      <c r="U43" s="214">
        <f>17697*30%</f>
        <v>5309.0999999999995</v>
      </c>
      <c r="V43" s="205"/>
      <c r="W43" s="205"/>
      <c r="X43" s="205"/>
      <c r="Y43" s="205"/>
      <c r="Z43" s="223">
        <f t="shared" ref="Z43:Z51" si="18">K43+L43+R43+S43+T43+U43+V43+W43+X43</f>
        <v>203480.106</v>
      </c>
    </row>
    <row r="44" spans="2:26" ht="20.25" customHeight="1" x14ac:dyDescent="0.4">
      <c r="B44" s="218"/>
      <c r="C44" s="216" t="s">
        <v>257</v>
      </c>
      <c r="D44" s="212" t="s">
        <v>191</v>
      </c>
      <c r="E44" s="212">
        <v>10.3</v>
      </c>
      <c r="F44" s="212">
        <v>1</v>
      </c>
      <c r="G44" s="212" t="s">
        <v>263</v>
      </c>
      <c r="H44" s="212">
        <v>4.46</v>
      </c>
      <c r="I44" s="214">
        <f t="shared" si="16"/>
        <v>78928.62</v>
      </c>
      <c r="J44" s="212">
        <v>2</v>
      </c>
      <c r="K44" s="214">
        <f t="shared" ref="K44:K51" si="19">I44*2</f>
        <v>157857.24</v>
      </c>
      <c r="L44" s="214">
        <f t="shared" si="17"/>
        <v>15785.724</v>
      </c>
      <c r="M44" s="205"/>
      <c r="N44" s="205"/>
      <c r="O44" s="205"/>
      <c r="P44" s="205"/>
      <c r="Q44" s="205"/>
      <c r="R44" s="205"/>
      <c r="S44" s="205"/>
      <c r="T44" s="205"/>
      <c r="U44" s="214">
        <f>17697*30%</f>
        <v>5309.0999999999995</v>
      </c>
      <c r="V44" s="205"/>
      <c r="W44" s="205"/>
      <c r="X44" s="205"/>
      <c r="Y44" s="205"/>
      <c r="Z44" s="223">
        <f t="shared" si="18"/>
        <v>178952.06399999998</v>
      </c>
    </row>
    <row r="45" spans="2:26" ht="20.25" customHeight="1" x14ac:dyDescent="0.4">
      <c r="B45" s="218"/>
      <c r="C45" s="216" t="s">
        <v>258</v>
      </c>
      <c r="D45" s="212" t="s">
        <v>191</v>
      </c>
      <c r="E45" s="212">
        <v>29</v>
      </c>
      <c r="F45" s="212">
        <v>1</v>
      </c>
      <c r="G45" s="212" t="s">
        <v>263</v>
      </c>
      <c r="H45" s="212">
        <v>4.83</v>
      </c>
      <c r="I45" s="214">
        <f t="shared" si="16"/>
        <v>85476.51</v>
      </c>
      <c r="J45" s="212">
        <v>2</v>
      </c>
      <c r="K45" s="214">
        <f t="shared" si="19"/>
        <v>170953.02</v>
      </c>
      <c r="L45" s="214">
        <f t="shared" si="17"/>
        <v>17095.302</v>
      </c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23">
        <f t="shared" si="18"/>
        <v>188048.32199999999</v>
      </c>
    </row>
    <row r="46" spans="2:26" ht="20.25" customHeight="1" x14ac:dyDescent="0.4">
      <c r="B46" s="218"/>
      <c r="C46" s="216" t="s">
        <v>258</v>
      </c>
      <c r="D46" s="212" t="s">
        <v>191</v>
      </c>
      <c r="E46" s="212">
        <v>5</v>
      </c>
      <c r="F46" s="212">
        <v>1</v>
      </c>
      <c r="G46" s="212" t="s">
        <v>263</v>
      </c>
      <c r="H46" s="212">
        <v>4.2699999999999996</v>
      </c>
      <c r="I46" s="214">
        <f t="shared" si="16"/>
        <v>75566.189999999988</v>
      </c>
      <c r="J46" s="212">
        <v>2</v>
      </c>
      <c r="K46" s="214">
        <f t="shared" si="19"/>
        <v>151132.37999999998</v>
      </c>
      <c r="L46" s="214">
        <f t="shared" si="17"/>
        <v>15113.237999999998</v>
      </c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23">
        <f t="shared" si="18"/>
        <v>166245.61799999996</v>
      </c>
    </row>
    <row r="47" spans="2:26" ht="20.25" customHeight="1" x14ac:dyDescent="0.4">
      <c r="B47" s="218"/>
      <c r="C47" s="216" t="s">
        <v>258</v>
      </c>
      <c r="D47" s="212" t="s">
        <v>191</v>
      </c>
      <c r="E47" s="212">
        <v>4.0999999999999996</v>
      </c>
      <c r="F47" s="212">
        <v>1</v>
      </c>
      <c r="G47" s="212" t="s">
        <v>263</v>
      </c>
      <c r="H47" s="212">
        <v>4.2300000000000004</v>
      </c>
      <c r="I47" s="214">
        <f t="shared" si="16"/>
        <v>74858.310000000012</v>
      </c>
      <c r="J47" s="212">
        <v>2</v>
      </c>
      <c r="K47" s="214">
        <f t="shared" si="19"/>
        <v>149716.62000000002</v>
      </c>
      <c r="L47" s="214">
        <f t="shared" si="17"/>
        <v>14971.662000000004</v>
      </c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23">
        <f t="shared" si="18"/>
        <v>164688.28200000004</v>
      </c>
    </row>
    <row r="48" spans="2:26" ht="20.25" customHeight="1" x14ac:dyDescent="0.4">
      <c r="B48" s="218"/>
      <c r="C48" s="211" t="s">
        <v>220</v>
      </c>
      <c r="D48" s="212" t="s">
        <v>191</v>
      </c>
      <c r="E48" s="212">
        <v>10.1</v>
      </c>
      <c r="F48" s="212">
        <v>1</v>
      </c>
      <c r="G48" s="217" t="s">
        <v>237</v>
      </c>
      <c r="H48" s="212">
        <v>4.46</v>
      </c>
      <c r="I48" s="214">
        <f t="shared" si="16"/>
        <v>78928.62</v>
      </c>
      <c r="J48" s="212">
        <v>2</v>
      </c>
      <c r="K48" s="214">
        <f t="shared" si="19"/>
        <v>157857.24</v>
      </c>
      <c r="L48" s="214">
        <f t="shared" si="17"/>
        <v>15785.724</v>
      </c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23">
        <f t="shared" si="18"/>
        <v>173642.96399999998</v>
      </c>
    </row>
    <row r="49" spans="2:26" ht="20.25" customHeight="1" x14ac:dyDescent="0.4">
      <c r="B49" s="218"/>
      <c r="C49" s="211" t="s">
        <v>220</v>
      </c>
      <c r="D49" s="212" t="s">
        <v>244</v>
      </c>
      <c r="E49" s="212">
        <v>23.7</v>
      </c>
      <c r="F49" s="212">
        <v>1</v>
      </c>
      <c r="G49" s="217" t="s">
        <v>238</v>
      </c>
      <c r="H49" s="212">
        <v>3.65</v>
      </c>
      <c r="I49" s="214">
        <f t="shared" si="16"/>
        <v>64594.049999999996</v>
      </c>
      <c r="J49" s="212">
        <v>2</v>
      </c>
      <c r="K49" s="214">
        <f t="shared" si="19"/>
        <v>129188.09999999999</v>
      </c>
      <c r="L49" s="214">
        <f t="shared" si="17"/>
        <v>12918.81</v>
      </c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23">
        <f t="shared" si="18"/>
        <v>142106.91</v>
      </c>
    </row>
    <row r="50" spans="2:26" ht="20.25" customHeight="1" x14ac:dyDescent="0.4">
      <c r="B50" s="218"/>
      <c r="C50" s="211" t="s">
        <v>245</v>
      </c>
      <c r="D50" s="212" t="s">
        <v>244</v>
      </c>
      <c r="E50" s="212">
        <v>30</v>
      </c>
      <c r="F50" s="212">
        <v>1</v>
      </c>
      <c r="G50" s="217" t="s">
        <v>239</v>
      </c>
      <c r="H50" s="212">
        <v>3.68</v>
      </c>
      <c r="I50" s="214">
        <f t="shared" si="16"/>
        <v>65124.960000000006</v>
      </c>
      <c r="J50" s="212">
        <v>2</v>
      </c>
      <c r="K50" s="214">
        <f t="shared" si="19"/>
        <v>130249.92000000001</v>
      </c>
      <c r="L50" s="214">
        <f t="shared" si="17"/>
        <v>13024.992000000002</v>
      </c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23">
        <f t="shared" si="18"/>
        <v>143274.91200000001</v>
      </c>
    </row>
    <row r="51" spans="2:26" ht="20.25" customHeight="1" x14ac:dyDescent="0.4">
      <c r="B51" s="218"/>
      <c r="C51" s="231" t="s">
        <v>225</v>
      </c>
      <c r="D51" s="212" t="s">
        <v>191</v>
      </c>
      <c r="E51" s="212">
        <v>12.4</v>
      </c>
      <c r="F51" s="212">
        <v>1</v>
      </c>
      <c r="G51" s="217" t="s">
        <v>237</v>
      </c>
      <c r="H51" s="212">
        <v>4.46</v>
      </c>
      <c r="I51" s="214">
        <f t="shared" si="16"/>
        <v>78928.62</v>
      </c>
      <c r="J51" s="212">
        <v>2</v>
      </c>
      <c r="K51" s="214">
        <f t="shared" si="19"/>
        <v>157857.24</v>
      </c>
      <c r="L51" s="214">
        <f t="shared" si="17"/>
        <v>15785.724</v>
      </c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23">
        <f t="shared" si="18"/>
        <v>173642.96399999998</v>
      </c>
    </row>
    <row r="52" spans="2:26" ht="25.5" customHeight="1" x14ac:dyDescent="0.4">
      <c r="B52" s="218"/>
      <c r="C52" s="219"/>
      <c r="D52" s="219"/>
      <c r="E52" s="221"/>
      <c r="F52" s="232">
        <f>SUM(F43:F51)</f>
        <v>9</v>
      </c>
      <c r="G52" s="212"/>
      <c r="H52" s="233"/>
      <c r="I52" s="224">
        <f>SUM(I43:I51)</f>
        <v>692483.61</v>
      </c>
      <c r="J52" s="224"/>
      <c r="K52" s="224">
        <f t="shared" ref="K52" si="20">I52*2</f>
        <v>1384967.22</v>
      </c>
      <c r="L52" s="215">
        <f t="shared" si="17"/>
        <v>138496.72200000001</v>
      </c>
      <c r="M52" s="215">
        <v>0</v>
      </c>
      <c r="N52" s="215">
        <v>0</v>
      </c>
      <c r="O52" s="215">
        <v>0</v>
      </c>
      <c r="P52" s="215">
        <v>0</v>
      </c>
      <c r="Q52" s="215">
        <v>0</v>
      </c>
      <c r="R52" s="215">
        <v>0</v>
      </c>
      <c r="S52" s="215">
        <f t="shared" ref="S52" si="21">R52*10%</f>
        <v>0</v>
      </c>
      <c r="T52" s="215">
        <f t="shared" ref="T52" si="22">S52*10%</f>
        <v>0</v>
      </c>
      <c r="U52" s="215">
        <f>SUM(U43:U51)</f>
        <v>10618.199999999999</v>
      </c>
      <c r="V52" s="215">
        <v>0</v>
      </c>
      <c r="W52" s="215">
        <v>0</v>
      </c>
      <c r="X52" s="215">
        <v>0</v>
      </c>
      <c r="Y52" s="215">
        <v>0</v>
      </c>
      <c r="Z52" s="234">
        <f>SUM(Z43:Z51)</f>
        <v>1534082.1419999998</v>
      </c>
    </row>
    <row r="53" spans="2:26" ht="39" hidden="1" customHeight="1" x14ac:dyDescent="0.4">
      <c r="B53" s="218">
        <v>42</v>
      </c>
      <c r="C53" s="219"/>
      <c r="D53" s="219"/>
      <c r="E53" s="221"/>
      <c r="F53" s="232"/>
      <c r="G53" s="212"/>
      <c r="H53" s="233"/>
      <c r="I53" s="235"/>
      <c r="J53" s="235"/>
      <c r="K53" s="235"/>
      <c r="L53" s="236"/>
      <c r="M53" s="212"/>
      <c r="N53" s="232"/>
      <c r="O53" s="212"/>
      <c r="P53" s="212"/>
      <c r="Q53" s="212"/>
      <c r="R53" s="212"/>
      <c r="S53" s="212"/>
      <c r="T53" s="232"/>
      <c r="U53" s="212"/>
      <c r="V53" s="232"/>
      <c r="W53" s="232"/>
      <c r="X53" s="232"/>
      <c r="Y53" s="232"/>
      <c r="Z53" s="235"/>
    </row>
    <row r="54" spans="2:26" ht="18" hidden="1" customHeight="1" x14ac:dyDescent="0.4">
      <c r="B54" s="218">
        <v>43</v>
      </c>
      <c r="C54" s="237" t="s">
        <v>16</v>
      </c>
      <c r="D54" s="238"/>
      <c r="E54" s="221"/>
      <c r="F54" s="232"/>
      <c r="G54" s="232"/>
      <c r="H54" s="239"/>
      <c r="I54" s="235"/>
      <c r="J54" s="235"/>
      <c r="K54" s="235"/>
      <c r="L54" s="236"/>
      <c r="M54" s="232"/>
      <c r="N54" s="232"/>
      <c r="O54" s="212"/>
      <c r="P54" s="212"/>
      <c r="Q54" s="212"/>
      <c r="R54" s="212"/>
      <c r="S54" s="212"/>
      <c r="T54" s="240"/>
      <c r="U54" s="232"/>
      <c r="V54" s="240"/>
      <c r="W54" s="240"/>
      <c r="X54" s="240"/>
      <c r="Y54" s="240"/>
      <c r="Z54" s="235"/>
    </row>
    <row r="55" spans="2:26" s="23" customFormat="1" ht="42.75" customHeight="1" x14ac:dyDescent="0.35">
      <c r="B55" s="241"/>
      <c r="C55" s="242" t="s">
        <v>56</v>
      </c>
      <c r="D55" s="205">
        <f>D52</f>
        <v>0</v>
      </c>
      <c r="E55" s="205">
        <f t="shared" ref="E55:Z55" si="23">E52</f>
        <v>0</v>
      </c>
      <c r="F55" s="205">
        <f t="shared" si="23"/>
        <v>9</v>
      </c>
      <c r="G55" s="205">
        <f t="shared" si="23"/>
        <v>0</v>
      </c>
      <c r="H55" s="205">
        <f t="shared" si="23"/>
        <v>0</v>
      </c>
      <c r="I55" s="223">
        <f t="shared" si="23"/>
        <v>692483.61</v>
      </c>
      <c r="J55" s="205">
        <f t="shared" si="23"/>
        <v>0</v>
      </c>
      <c r="K55" s="205">
        <f t="shared" si="23"/>
        <v>1384967.22</v>
      </c>
      <c r="L55" s="223">
        <f t="shared" si="23"/>
        <v>138496.72200000001</v>
      </c>
      <c r="M55" s="223">
        <f t="shared" si="23"/>
        <v>0</v>
      </c>
      <c r="N55" s="223">
        <f t="shared" si="23"/>
        <v>0</v>
      </c>
      <c r="O55" s="223">
        <f t="shared" si="23"/>
        <v>0</v>
      </c>
      <c r="P55" s="223">
        <f t="shared" si="23"/>
        <v>0</v>
      </c>
      <c r="Q55" s="223">
        <f t="shared" si="23"/>
        <v>0</v>
      </c>
      <c r="R55" s="223">
        <f t="shared" si="23"/>
        <v>0</v>
      </c>
      <c r="S55" s="223">
        <f t="shared" si="23"/>
        <v>0</v>
      </c>
      <c r="T55" s="223">
        <f t="shared" si="23"/>
        <v>0</v>
      </c>
      <c r="U55" s="223">
        <f t="shared" si="23"/>
        <v>10618.199999999999</v>
      </c>
      <c r="V55" s="223">
        <f t="shared" si="23"/>
        <v>0</v>
      </c>
      <c r="W55" s="223">
        <f t="shared" si="23"/>
        <v>0</v>
      </c>
      <c r="X55" s="223">
        <f t="shared" si="23"/>
        <v>0</v>
      </c>
      <c r="Y55" s="223">
        <f t="shared" si="23"/>
        <v>0</v>
      </c>
      <c r="Z55" s="223">
        <f t="shared" si="23"/>
        <v>1534082.1419999998</v>
      </c>
    </row>
    <row r="56" spans="2:26" s="23" customFormat="1" ht="27" customHeight="1" x14ac:dyDescent="0.4">
      <c r="B56" s="241"/>
      <c r="C56" s="243"/>
      <c r="D56" s="212"/>
      <c r="E56" s="212"/>
      <c r="F56" s="212"/>
      <c r="G56" s="217"/>
      <c r="H56" s="212"/>
      <c r="I56" s="214"/>
      <c r="J56" s="212"/>
      <c r="K56" s="214"/>
      <c r="L56" s="214"/>
      <c r="M56" s="214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205"/>
      <c r="Y56" s="205"/>
      <c r="Z56" s="223">
        <f>K56+L56+M56</f>
        <v>0</v>
      </c>
    </row>
    <row r="57" spans="2:26" s="23" customFormat="1" ht="20.399999999999999" customHeight="1" x14ac:dyDescent="0.4">
      <c r="B57" s="241"/>
      <c r="C57" s="243"/>
      <c r="D57" s="212"/>
      <c r="E57" s="212"/>
      <c r="F57" s="212"/>
      <c r="G57" s="217"/>
      <c r="H57" s="212"/>
      <c r="I57" s="214"/>
      <c r="J57" s="212"/>
      <c r="K57" s="214"/>
      <c r="L57" s="214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23">
        <f>K57+L57+M57</f>
        <v>0</v>
      </c>
    </row>
    <row r="58" spans="2:26" s="23" customFormat="1" ht="25.2" customHeight="1" x14ac:dyDescent="0.4">
      <c r="B58" s="241"/>
      <c r="C58" s="211" t="s">
        <v>222</v>
      </c>
      <c r="D58" s="212" t="s">
        <v>244</v>
      </c>
      <c r="E58" s="212">
        <v>15</v>
      </c>
      <c r="F58" s="212">
        <v>1</v>
      </c>
      <c r="G58" s="217" t="s">
        <v>240</v>
      </c>
      <c r="H58" s="212">
        <v>3.19</v>
      </c>
      <c r="I58" s="214">
        <f t="shared" ref="I58:I59" si="24">17697*H58</f>
        <v>56453.43</v>
      </c>
      <c r="J58" s="212">
        <v>2</v>
      </c>
      <c r="K58" s="214">
        <f t="shared" ref="K58:K60" si="25">I58*2</f>
        <v>112906.86</v>
      </c>
      <c r="L58" s="214">
        <f t="shared" ref="L58:L60" si="26">K58*10%</f>
        <v>11290.686000000002</v>
      </c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23">
        <f>K58+L58+M58</f>
        <v>124197.546</v>
      </c>
    </row>
    <row r="59" spans="2:26" s="23" customFormat="1" ht="23.4" customHeight="1" x14ac:dyDescent="0.4">
      <c r="B59" s="241"/>
      <c r="C59" s="211" t="s">
        <v>223</v>
      </c>
      <c r="D59" s="212" t="s">
        <v>191</v>
      </c>
      <c r="E59" s="212">
        <v>0</v>
      </c>
      <c r="F59" s="212">
        <v>1</v>
      </c>
      <c r="G59" s="217" t="s">
        <v>240</v>
      </c>
      <c r="H59" s="212">
        <v>2.95</v>
      </c>
      <c r="I59" s="214">
        <f t="shared" si="24"/>
        <v>52206.15</v>
      </c>
      <c r="J59" s="212">
        <v>2</v>
      </c>
      <c r="K59" s="214">
        <f t="shared" si="25"/>
        <v>104412.3</v>
      </c>
      <c r="L59" s="214">
        <f t="shared" si="26"/>
        <v>10441.230000000001</v>
      </c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23">
        <f>K59+L59+M59</f>
        <v>114853.53</v>
      </c>
    </row>
    <row r="60" spans="2:26" s="23" customFormat="1" ht="25.2" customHeight="1" x14ac:dyDescent="0.4">
      <c r="B60" s="241"/>
      <c r="C60" s="244" t="s">
        <v>224</v>
      </c>
      <c r="D60" s="212" t="s">
        <v>244</v>
      </c>
      <c r="E60" s="212">
        <v>29.7</v>
      </c>
      <c r="F60" s="212">
        <v>0.5</v>
      </c>
      <c r="G60" s="217" t="s">
        <v>240</v>
      </c>
      <c r="H60" s="212">
        <v>3.29</v>
      </c>
      <c r="I60" s="214">
        <f>17697*H60/2</f>
        <v>29111.564999999999</v>
      </c>
      <c r="J60" s="212">
        <v>2</v>
      </c>
      <c r="K60" s="214">
        <f t="shared" si="25"/>
        <v>58223.13</v>
      </c>
      <c r="L60" s="214">
        <f t="shared" si="26"/>
        <v>5822.3130000000001</v>
      </c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223">
        <f>K60+L60+M60</f>
        <v>64045.442999999999</v>
      </c>
    </row>
    <row r="61" spans="2:26" ht="18.75" customHeight="1" x14ac:dyDescent="0.4">
      <c r="B61" s="218"/>
      <c r="C61" s="237"/>
      <c r="D61" s="238"/>
      <c r="E61" s="233"/>
      <c r="F61" s="232">
        <f>SUM(F58:F60)</f>
        <v>2.5</v>
      </c>
      <c r="G61" s="232"/>
      <c r="H61" s="239"/>
      <c r="I61" s="223">
        <f>SUM(I58:I60)</f>
        <v>137771.14499999999</v>
      </c>
      <c r="J61" s="223"/>
      <c r="K61" s="224">
        <f>SUM(K58:K60)</f>
        <v>275542.28999999998</v>
      </c>
      <c r="L61" s="224">
        <f>SUM(L58:L60)</f>
        <v>27554.229000000007</v>
      </c>
      <c r="M61" s="245"/>
      <c r="N61" s="245"/>
      <c r="O61" s="205"/>
      <c r="P61" s="205"/>
      <c r="Q61" s="205"/>
      <c r="R61" s="205"/>
      <c r="S61" s="205"/>
      <c r="T61" s="246"/>
      <c r="U61" s="245"/>
      <c r="V61" s="246"/>
      <c r="W61" s="246"/>
      <c r="X61" s="246"/>
      <c r="Y61" s="246"/>
      <c r="Z61" s="223">
        <f>SUM(Z58:Z60)</f>
        <v>303096.51899999997</v>
      </c>
    </row>
    <row r="62" spans="2:26" ht="18.75" customHeight="1" x14ac:dyDescent="0.35">
      <c r="B62" s="218"/>
      <c r="C62" s="230" t="s">
        <v>57</v>
      </c>
      <c r="D62" s="205">
        <f>D61</f>
        <v>0</v>
      </c>
      <c r="E62" s="205">
        <f t="shared" ref="E62:Z62" si="27">E61</f>
        <v>0</v>
      </c>
      <c r="F62" s="205">
        <f t="shared" si="27"/>
        <v>2.5</v>
      </c>
      <c r="G62" s="205">
        <f t="shared" si="27"/>
        <v>0</v>
      </c>
      <c r="H62" s="205">
        <f t="shared" si="27"/>
        <v>0</v>
      </c>
      <c r="I62" s="223">
        <f t="shared" si="27"/>
        <v>137771.14499999999</v>
      </c>
      <c r="J62" s="205">
        <f t="shared" si="27"/>
        <v>0</v>
      </c>
      <c r="K62" s="223">
        <f t="shared" si="27"/>
        <v>275542.28999999998</v>
      </c>
      <c r="L62" s="223">
        <f t="shared" si="27"/>
        <v>27554.229000000007</v>
      </c>
      <c r="M62" s="205">
        <f t="shared" si="27"/>
        <v>0</v>
      </c>
      <c r="N62" s="205">
        <f t="shared" si="27"/>
        <v>0</v>
      </c>
      <c r="O62" s="205">
        <f t="shared" si="27"/>
        <v>0</v>
      </c>
      <c r="P62" s="205">
        <f t="shared" si="27"/>
        <v>0</v>
      </c>
      <c r="Q62" s="205">
        <f t="shared" si="27"/>
        <v>0</v>
      </c>
      <c r="R62" s="205">
        <f t="shared" si="27"/>
        <v>0</v>
      </c>
      <c r="S62" s="205">
        <f t="shared" si="27"/>
        <v>0</v>
      </c>
      <c r="T62" s="205">
        <f t="shared" si="27"/>
        <v>0</v>
      </c>
      <c r="U62" s="205">
        <f t="shared" si="27"/>
        <v>0</v>
      </c>
      <c r="V62" s="205">
        <f t="shared" si="27"/>
        <v>0</v>
      </c>
      <c r="W62" s="205">
        <f t="shared" si="27"/>
        <v>0</v>
      </c>
      <c r="X62" s="205">
        <f t="shared" si="27"/>
        <v>0</v>
      </c>
      <c r="Y62" s="205">
        <f t="shared" si="27"/>
        <v>0</v>
      </c>
      <c r="Z62" s="223">
        <f t="shared" si="27"/>
        <v>303096.51899999997</v>
      </c>
    </row>
    <row r="63" spans="2:26" ht="18.75" customHeight="1" x14ac:dyDescent="0.35">
      <c r="B63" s="218"/>
      <c r="C63" s="230"/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</row>
    <row r="64" spans="2:26" ht="39" customHeight="1" x14ac:dyDescent="0.4">
      <c r="B64" s="218"/>
      <c r="C64" s="247" t="s">
        <v>226</v>
      </c>
      <c r="D64" s="248"/>
      <c r="E64" s="205"/>
      <c r="F64" s="248">
        <v>2</v>
      </c>
      <c r="G64" s="212" t="s">
        <v>241</v>
      </c>
      <c r="H64" s="212">
        <v>2.9</v>
      </c>
      <c r="I64" s="214">
        <f>17697*H64*F64</f>
        <v>102642.59999999999</v>
      </c>
      <c r="J64" s="205"/>
      <c r="K64" s="214">
        <f>I64*2</f>
        <v>205285.19999999998</v>
      </c>
      <c r="L64" s="214">
        <f>K64*10%</f>
        <v>20528.52</v>
      </c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23">
        <f t="shared" ref="Z64:Z72" si="28">K64+S64+T64+U64+V64+W64+X64+Y64+L64</f>
        <v>225813.71999999997</v>
      </c>
    </row>
    <row r="65" spans="2:26" ht="18.75" customHeight="1" x14ac:dyDescent="0.4">
      <c r="B65" s="218"/>
      <c r="C65" s="247" t="s">
        <v>227</v>
      </c>
      <c r="D65" s="248"/>
      <c r="E65" s="205"/>
      <c r="F65" s="248">
        <v>2</v>
      </c>
      <c r="G65" s="212" t="s">
        <v>241</v>
      </c>
      <c r="H65" s="212">
        <v>2.9</v>
      </c>
      <c r="I65" s="214">
        <f t="shared" ref="I65:I72" si="29">17697*H65*F65</f>
        <v>102642.59999999999</v>
      </c>
      <c r="J65" s="205"/>
      <c r="K65" s="214">
        <f t="shared" ref="K65:K73" si="30">I65*2</f>
        <v>205285.19999999998</v>
      </c>
      <c r="L65" s="214">
        <f t="shared" ref="L65:L73" si="31">K65*10%</f>
        <v>20528.52</v>
      </c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23">
        <f t="shared" si="28"/>
        <v>225813.71999999997</v>
      </c>
    </row>
    <row r="66" spans="2:26" ht="18.75" customHeight="1" x14ac:dyDescent="0.4">
      <c r="B66" s="218"/>
      <c r="C66" s="247" t="s">
        <v>228</v>
      </c>
      <c r="D66" s="248"/>
      <c r="E66" s="205"/>
      <c r="F66" s="248">
        <v>2</v>
      </c>
      <c r="G66" s="212" t="s">
        <v>241</v>
      </c>
      <c r="H66" s="212">
        <v>2.9</v>
      </c>
      <c r="I66" s="214">
        <f t="shared" si="29"/>
        <v>102642.59999999999</v>
      </c>
      <c r="J66" s="205"/>
      <c r="K66" s="214">
        <f t="shared" si="30"/>
        <v>205285.19999999998</v>
      </c>
      <c r="L66" s="214">
        <f t="shared" si="31"/>
        <v>20528.52</v>
      </c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05"/>
      <c r="Z66" s="223">
        <f t="shared" si="28"/>
        <v>225813.71999999997</v>
      </c>
    </row>
    <row r="67" spans="2:26" ht="18.75" customHeight="1" x14ac:dyDescent="0.4">
      <c r="B67" s="218"/>
      <c r="C67" s="247" t="s">
        <v>229</v>
      </c>
      <c r="D67" s="248"/>
      <c r="E67" s="205"/>
      <c r="F67" s="248">
        <v>1</v>
      </c>
      <c r="G67" s="212" t="s">
        <v>241</v>
      </c>
      <c r="H67" s="212">
        <v>2.9</v>
      </c>
      <c r="I67" s="214">
        <f t="shared" si="29"/>
        <v>51321.299999999996</v>
      </c>
      <c r="J67" s="205"/>
      <c r="K67" s="214">
        <f t="shared" si="30"/>
        <v>102642.59999999999</v>
      </c>
      <c r="L67" s="214">
        <f t="shared" si="31"/>
        <v>10264.26</v>
      </c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23">
        <f t="shared" si="28"/>
        <v>112906.85999999999</v>
      </c>
    </row>
    <row r="68" spans="2:26" ht="18.75" customHeight="1" x14ac:dyDescent="0.4">
      <c r="B68" s="218"/>
      <c r="C68" s="249" t="s">
        <v>230</v>
      </c>
      <c r="D68" s="248"/>
      <c r="E68" s="205"/>
      <c r="F68" s="248">
        <v>11.5</v>
      </c>
      <c r="G68" s="212" t="s">
        <v>242</v>
      </c>
      <c r="H68" s="212">
        <v>2.84</v>
      </c>
      <c r="I68" s="214">
        <f t="shared" si="29"/>
        <v>577984.0199999999</v>
      </c>
      <c r="J68" s="205"/>
      <c r="K68" s="214">
        <f t="shared" si="30"/>
        <v>1155968.0399999998</v>
      </c>
      <c r="L68" s="214">
        <f t="shared" si="31"/>
        <v>115596.80399999999</v>
      </c>
      <c r="M68" s="205"/>
      <c r="N68" s="205"/>
      <c r="O68" s="205"/>
      <c r="P68" s="205"/>
      <c r="Q68" s="205"/>
      <c r="R68" s="205"/>
      <c r="S68" s="212">
        <f>17697*20%*3.5</f>
        <v>12387.9</v>
      </c>
      <c r="T68" s="212">
        <f>17697*30%*8</f>
        <v>42472.799999999996</v>
      </c>
      <c r="U68" s="205"/>
      <c r="V68" s="205"/>
      <c r="W68" s="205"/>
      <c r="X68" s="205"/>
      <c r="Y68" s="212"/>
      <c r="Z68" s="223">
        <f t="shared" si="28"/>
        <v>1326425.5439999998</v>
      </c>
    </row>
    <row r="69" spans="2:26" ht="18.75" customHeight="1" x14ac:dyDescent="0.4">
      <c r="B69" s="218"/>
      <c r="C69" s="249" t="s">
        <v>231</v>
      </c>
      <c r="D69" s="248"/>
      <c r="E69" s="205"/>
      <c r="F69" s="248">
        <v>2</v>
      </c>
      <c r="G69" s="212" t="s">
        <v>242</v>
      </c>
      <c r="H69" s="212">
        <v>2.84</v>
      </c>
      <c r="I69" s="214">
        <f t="shared" si="29"/>
        <v>100518.95999999999</v>
      </c>
      <c r="J69" s="205"/>
      <c r="K69" s="214">
        <f t="shared" si="30"/>
        <v>201037.91999999998</v>
      </c>
      <c r="L69" s="214">
        <f t="shared" si="31"/>
        <v>20103.792000000001</v>
      </c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23">
        <f t="shared" si="28"/>
        <v>221141.712</v>
      </c>
    </row>
    <row r="70" spans="2:26" ht="18.75" customHeight="1" x14ac:dyDescent="0.4">
      <c r="B70" s="218"/>
      <c r="C70" s="249" t="s">
        <v>232</v>
      </c>
      <c r="D70" s="248"/>
      <c r="E70" s="205"/>
      <c r="F70" s="248">
        <v>1.5</v>
      </c>
      <c r="G70" s="212" t="s">
        <v>243</v>
      </c>
      <c r="H70" s="212">
        <v>2.81</v>
      </c>
      <c r="I70" s="214">
        <f t="shared" si="29"/>
        <v>74592.854999999996</v>
      </c>
      <c r="J70" s="205"/>
      <c r="K70" s="214">
        <f t="shared" si="30"/>
        <v>149185.71</v>
      </c>
      <c r="L70" s="214">
        <f t="shared" si="31"/>
        <v>14918.571</v>
      </c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05"/>
      <c r="Z70" s="223">
        <f t="shared" si="28"/>
        <v>164104.28099999999</v>
      </c>
    </row>
    <row r="71" spans="2:26" ht="18.75" customHeight="1" x14ac:dyDescent="0.4">
      <c r="B71" s="218"/>
      <c r="C71" s="249" t="s">
        <v>233</v>
      </c>
      <c r="D71" s="248"/>
      <c r="E71" s="205"/>
      <c r="F71" s="248">
        <v>3</v>
      </c>
      <c r="G71" s="212" t="s">
        <v>243</v>
      </c>
      <c r="H71" s="212">
        <v>2.81</v>
      </c>
      <c r="I71" s="214">
        <f t="shared" si="29"/>
        <v>149185.71</v>
      </c>
      <c r="J71" s="205"/>
      <c r="K71" s="214">
        <f t="shared" si="30"/>
        <v>298371.42</v>
      </c>
      <c r="L71" s="214">
        <f t="shared" si="31"/>
        <v>29837.142</v>
      </c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12">
        <v>73785</v>
      </c>
      <c r="X71" s="212"/>
      <c r="Y71" s="212"/>
      <c r="Z71" s="223">
        <f t="shared" si="28"/>
        <v>401993.56199999998</v>
      </c>
    </row>
    <row r="72" spans="2:26" ht="18.75" customHeight="1" x14ac:dyDescent="0.4">
      <c r="B72" s="218"/>
      <c r="C72" s="249" t="s">
        <v>234</v>
      </c>
      <c r="D72" s="248"/>
      <c r="E72" s="205"/>
      <c r="F72" s="248">
        <v>2</v>
      </c>
      <c r="G72" s="212" t="s">
        <v>243</v>
      </c>
      <c r="H72" s="212">
        <v>2.81</v>
      </c>
      <c r="I72" s="214">
        <f t="shared" si="29"/>
        <v>99457.14</v>
      </c>
      <c r="J72" s="205"/>
      <c r="K72" s="214">
        <f t="shared" si="30"/>
        <v>198914.28</v>
      </c>
      <c r="L72" s="214">
        <f t="shared" si="31"/>
        <v>19891.428</v>
      </c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12"/>
      <c r="Z72" s="223">
        <f t="shared" si="28"/>
        <v>218805.70799999998</v>
      </c>
    </row>
    <row r="73" spans="2:26" ht="18.75" customHeight="1" x14ac:dyDescent="0.4">
      <c r="B73" s="218"/>
      <c r="C73" s="237"/>
      <c r="D73" s="238"/>
      <c r="E73" s="233"/>
      <c r="F73" s="245">
        <f>SUM(F64:F72)</f>
        <v>27</v>
      </c>
      <c r="G73" s="224"/>
      <c r="H73" s="245"/>
      <c r="I73" s="224">
        <f>SUM(I64:I72)</f>
        <v>1360987.7849999997</v>
      </c>
      <c r="J73" s="224"/>
      <c r="K73" s="224">
        <f t="shared" si="30"/>
        <v>2721975.5699999994</v>
      </c>
      <c r="L73" s="224">
        <f t="shared" si="31"/>
        <v>272197.55699999997</v>
      </c>
      <c r="M73" s="232"/>
      <c r="N73" s="235"/>
      <c r="O73" s="214"/>
      <c r="P73" s="214"/>
      <c r="Q73" s="214"/>
      <c r="R73" s="214"/>
      <c r="S73" s="223">
        <f>SUM(S64:S72)</f>
        <v>12387.9</v>
      </c>
      <c r="T73" s="224">
        <f>SUM(T64:T72)</f>
        <v>42472.799999999996</v>
      </c>
      <c r="U73" s="245"/>
      <c r="V73" s="224"/>
      <c r="W73" s="224">
        <f>SUM(W64:W72)</f>
        <v>73785</v>
      </c>
      <c r="X73" s="224">
        <f>SUM(X64:X72)</f>
        <v>0</v>
      </c>
      <c r="Y73" s="224">
        <f>SUM(Y65:Y72)</f>
        <v>0</v>
      </c>
      <c r="Z73" s="234">
        <f>SUM(Z64:Z72)</f>
        <v>3122818.8269999996</v>
      </c>
    </row>
    <row r="74" spans="2:26" ht="27.75" customHeight="1" x14ac:dyDescent="0.35">
      <c r="B74" s="218"/>
      <c r="C74" s="226" t="s">
        <v>58</v>
      </c>
      <c r="D74" s="205">
        <f t="shared" ref="D74:Y74" si="32">D73</f>
        <v>0</v>
      </c>
      <c r="E74" s="205">
        <f t="shared" si="32"/>
        <v>0</v>
      </c>
      <c r="F74" s="205">
        <f t="shared" si="32"/>
        <v>27</v>
      </c>
      <c r="G74" s="205">
        <f t="shared" si="32"/>
        <v>0</v>
      </c>
      <c r="H74" s="205">
        <f t="shared" si="32"/>
        <v>0</v>
      </c>
      <c r="I74" s="223">
        <f t="shared" si="32"/>
        <v>1360987.7849999997</v>
      </c>
      <c r="J74" s="205">
        <f t="shared" si="32"/>
        <v>0</v>
      </c>
      <c r="K74" s="205">
        <f t="shared" si="32"/>
        <v>2721975.5699999994</v>
      </c>
      <c r="L74" s="223">
        <f t="shared" si="32"/>
        <v>272197.55699999997</v>
      </c>
      <c r="M74" s="223">
        <f t="shared" si="32"/>
        <v>0</v>
      </c>
      <c r="N74" s="223">
        <f t="shared" si="32"/>
        <v>0</v>
      </c>
      <c r="O74" s="223">
        <f t="shared" si="32"/>
        <v>0</v>
      </c>
      <c r="P74" s="223">
        <f t="shared" si="32"/>
        <v>0</v>
      </c>
      <c r="Q74" s="223">
        <f t="shared" si="32"/>
        <v>0</v>
      </c>
      <c r="R74" s="223">
        <f t="shared" si="32"/>
        <v>0</v>
      </c>
      <c r="S74" s="223">
        <f t="shared" si="32"/>
        <v>12387.9</v>
      </c>
      <c r="T74" s="223">
        <f t="shared" si="32"/>
        <v>42472.799999999996</v>
      </c>
      <c r="U74" s="223">
        <f t="shared" si="32"/>
        <v>0</v>
      </c>
      <c r="V74" s="223">
        <f t="shared" si="32"/>
        <v>0</v>
      </c>
      <c r="W74" s="223">
        <f t="shared" si="32"/>
        <v>73785</v>
      </c>
      <c r="X74" s="223">
        <f t="shared" si="32"/>
        <v>0</v>
      </c>
      <c r="Y74" s="223">
        <f t="shared" si="32"/>
        <v>0</v>
      </c>
      <c r="Z74" s="223">
        <f>Z73</f>
        <v>3122818.8269999996</v>
      </c>
    </row>
    <row r="75" spans="2:26" ht="25.5" customHeight="1" x14ac:dyDescent="0.35">
      <c r="B75" s="218"/>
      <c r="C75" s="250" t="s">
        <v>59</v>
      </c>
      <c r="D75" s="251">
        <f t="shared" ref="D75:W75" si="33">D26+D41+D55+D62+D74</f>
        <v>0</v>
      </c>
      <c r="E75" s="251">
        <f t="shared" si="33"/>
        <v>0</v>
      </c>
      <c r="F75" s="251">
        <f t="shared" si="33"/>
        <v>56.5</v>
      </c>
      <c r="G75" s="251">
        <f t="shared" si="33"/>
        <v>0</v>
      </c>
      <c r="H75" s="251">
        <f t="shared" si="33"/>
        <v>0</v>
      </c>
      <c r="I75" s="225">
        <f t="shared" si="33"/>
        <v>3720705.7649999997</v>
      </c>
      <c r="J75" s="251">
        <f t="shared" si="33"/>
        <v>0</v>
      </c>
      <c r="K75" s="251">
        <f t="shared" si="33"/>
        <v>7577218.3079999993</v>
      </c>
      <c r="L75" s="225">
        <f t="shared" si="33"/>
        <v>757721.8308</v>
      </c>
      <c r="M75" s="251">
        <f t="shared" si="33"/>
        <v>214133.69999999998</v>
      </c>
      <c r="N75" s="225">
        <f t="shared" si="33"/>
        <v>101580.78</v>
      </c>
      <c r="O75" s="251">
        <f t="shared" si="33"/>
        <v>183163.94999999998</v>
      </c>
      <c r="P75" s="251">
        <f t="shared" si="33"/>
        <v>176548.81140000001</v>
      </c>
      <c r="Q75" s="251">
        <f t="shared" si="33"/>
        <v>0</v>
      </c>
      <c r="R75" s="251">
        <f t="shared" si="33"/>
        <v>0</v>
      </c>
      <c r="S75" s="251">
        <f t="shared" si="33"/>
        <v>12387.9</v>
      </c>
      <c r="T75" s="251">
        <f t="shared" si="33"/>
        <v>42472.799999999996</v>
      </c>
      <c r="U75" s="225">
        <f>U26+U41+U55+U62+U74</f>
        <v>10618.199999999999</v>
      </c>
      <c r="V75" s="225">
        <f t="shared" si="33"/>
        <v>0</v>
      </c>
      <c r="W75" s="251">
        <f t="shared" si="33"/>
        <v>73785</v>
      </c>
      <c r="X75" s="251">
        <f t="shared" ref="X75:Y75" si="34">X26+X41+X55+X62+X74</f>
        <v>0</v>
      </c>
      <c r="Y75" s="251">
        <f t="shared" si="34"/>
        <v>0</v>
      </c>
      <c r="Z75" s="225">
        <f>Z26+Z41+Z55+Z62+Z74</f>
        <v>9149631.2802000009</v>
      </c>
    </row>
    <row r="76" spans="2:26" ht="20.399999999999999" x14ac:dyDescent="0.35">
      <c r="C76" s="33" t="s">
        <v>60</v>
      </c>
      <c r="D76" s="33"/>
      <c r="E76" s="34"/>
      <c r="F76" s="35"/>
      <c r="G76" s="35"/>
      <c r="H76" s="35"/>
      <c r="I76" s="29"/>
      <c r="L76" s="30"/>
      <c r="M76" s="26"/>
      <c r="O76" s="31"/>
      <c r="P76" s="31"/>
      <c r="Q76" s="31"/>
      <c r="R76" s="31"/>
      <c r="S76" s="31"/>
      <c r="T76" s="30"/>
      <c r="U76" s="26"/>
      <c r="V76" s="30"/>
      <c r="W76" s="30"/>
      <c r="X76" s="30"/>
      <c r="Y76" s="30"/>
      <c r="Z76" s="30"/>
    </row>
    <row r="77" spans="2:26" ht="18" x14ac:dyDescent="0.35">
      <c r="C77" s="36"/>
      <c r="D77" s="36"/>
      <c r="E77" s="30"/>
      <c r="F77" s="32"/>
      <c r="G77" s="30"/>
      <c r="H77" s="26"/>
      <c r="I77" s="30"/>
      <c r="J77" s="30"/>
      <c r="K77" s="30"/>
      <c r="L77" s="30"/>
      <c r="M77" s="32"/>
      <c r="N77" s="30"/>
      <c r="O77" s="31"/>
      <c r="P77" s="31"/>
      <c r="Q77" s="31"/>
      <c r="R77" s="31"/>
      <c r="S77" s="31"/>
      <c r="T77" s="30"/>
      <c r="U77" s="32"/>
      <c r="V77" s="30"/>
      <c r="W77" s="30"/>
      <c r="X77" s="30"/>
      <c r="Y77" s="30"/>
      <c r="Z77" s="30"/>
    </row>
    <row r="78" spans="2:26" ht="18" x14ac:dyDescent="0.35">
      <c r="C78" s="37"/>
      <c r="D78" s="37" t="s">
        <v>267</v>
      </c>
      <c r="E78" s="25"/>
      <c r="F78" s="26"/>
      <c r="G78" s="26"/>
      <c r="I78" s="25" t="s">
        <v>268</v>
      </c>
      <c r="J78" s="26" t="s">
        <v>269</v>
      </c>
      <c r="K78" s="26" t="s">
        <v>270</v>
      </c>
      <c r="L78" s="26"/>
      <c r="M78" s="26"/>
      <c r="N78" s="26"/>
      <c r="O78" s="28"/>
      <c r="P78" s="28"/>
      <c r="Q78" s="28"/>
      <c r="R78" s="28"/>
      <c r="S78" s="28"/>
      <c r="T78" s="26"/>
      <c r="U78" s="26"/>
      <c r="V78" s="26"/>
      <c r="W78" s="26"/>
      <c r="X78" s="26"/>
      <c r="Y78" s="26"/>
      <c r="Z78" s="38"/>
    </row>
    <row r="79" spans="2:26" x14ac:dyDescent="0.3">
      <c r="C79" s="23"/>
      <c r="D79" s="23"/>
      <c r="H79" s="22" t="s">
        <v>271</v>
      </c>
      <c r="I79" s="23">
        <v>17697</v>
      </c>
      <c r="J79" s="22">
        <v>5</v>
      </c>
      <c r="K79" s="22">
        <v>20</v>
      </c>
      <c r="L79" s="22">
        <v>17695</v>
      </c>
    </row>
    <row r="80" spans="2:26" x14ac:dyDescent="0.3">
      <c r="H80" s="22" t="s">
        <v>271</v>
      </c>
      <c r="I80" s="23">
        <v>17697</v>
      </c>
      <c r="J80" s="22">
        <v>4</v>
      </c>
      <c r="K80" s="22">
        <v>30</v>
      </c>
      <c r="L80" s="22">
        <v>21236</v>
      </c>
    </row>
    <row r="81" spans="3:26" x14ac:dyDescent="0.3">
      <c r="C81" s="22" t="s">
        <v>272</v>
      </c>
      <c r="J81" s="22" t="s">
        <v>269</v>
      </c>
      <c r="K81" s="22" t="s">
        <v>270</v>
      </c>
    </row>
    <row r="82" spans="3:26" x14ac:dyDescent="0.3">
      <c r="H82" s="22" t="s">
        <v>230</v>
      </c>
      <c r="I82" s="23">
        <v>100519</v>
      </c>
      <c r="J82" s="22">
        <v>9</v>
      </c>
      <c r="K82" s="22">
        <v>50</v>
      </c>
      <c r="L82" s="22">
        <v>37694.625</v>
      </c>
    </row>
    <row r="83" spans="3:26" x14ac:dyDescent="0.3">
      <c r="H83" s="22" t="s">
        <v>233</v>
      </c>
      <c r="I83" s="23">
        <v>99457</v>
      </c>
      <c r="J83" s="22">
        <v>5</v>
      </c>
      <c r="K83" s="22">
        <v>50</v>
      </c>
      <c r="L83" s="22">
        <v>20720</v>
      </c>
    </row>
    <row r="84" spans="3:26" x14ac:dyDescent="0.3">
      <c r="C84" s="22" t="s">
        <v>273</v>
      </c>
    </row>
    <row r="85" spans="3:26" x14ac:dyDescent="0.3">
      <c r="C85" s="22" t="s">
        <v>274</v>
      </c>
      <c r="J85" s="22" t="s">
        <v>269</v>
      </c>
    </row>
    <row r="86" spans="3:26" x14ac:dyDescent="0.3">
      <c r="H86" s="22" t="s">
        <v>275</v>
      </c>
      <c r="I86" s="23">
        <v>8490</v>
      </c>
      <c r="J86" s="22">
        <v>3</v>
      </c>
      <c r="L86" s="22">
        <v>25470</v>
      </c>
    </row>
    <row r="87" spans="3:26" x14ac:dyDescent="0.3">
      <c r="H87" s="22" t="s">
        <v>276</v>
      </c>
      <c r="I87" s="23">
        <v>24595</v>
      </c>
      <c r="J87" s="22">
        <v>3</v>
      </c>
      <c r="L87" s="22">
        <v>73785</v>
      </c>
    </row>
    <row r="88" spans="3:26" x14ac:dyDescent="0.3">
      <c r="C88" s="22" t="s">
        <v>277</v>
      </c>
    </row>
    <row r="89" spans="3:26" x14ac:dyDescent="0.3">
      <c r="C89" s="22" t="s">
        <v>275</v>
      </c>
      <c r="H89" s="22" t="s">
        <v>278</v>
      </c>
    </row>
    <row r="90" spans="3:26" x14ac:dyDescent="0.3">
      <c r="C90" s="22" t="s">
        <v>276</v>
      </c>
      <c r="H90" s="22" t="s">
        <v>279</v>
      </c>
      <c r="Z90" s="22">
        <v>9239439</v>
      </c>
    </row>
    <row r="91" spans="3:26" x14ac:dyDescent="0.3">
      <c r="H91" s="22" t="s">
        <v>280</v>
      </c>
    </row>
  </sheetData>
  <mergeCells count="28">
    <mergeCell ref="B2:D5"/>
    <mergeCell ref="F2:I5"/>
    <mergeCell ref="M2:R6"/>
    <mergeCell ref="Z14:Z15"/>
    <mergeCell ref="M14:O14"/>
    <mergeCell ref="T14:T15"/>
    <mergeCell ref="W14:W15"/>
    <mergeCell ref="V14:V15"/>
    <mergeCell ref="P14:R14"/>
    <mergeCell ref="S14:S15"/>
    <mergeCell ref="X14:X15"/>
    <mergeCell ref="Y14:Y15"/>
    <mergeCell ref="B8:L8"/>
    <mergeCell ref="A10:I10"/>
    <mergeCell ref="A11:G11"/>
    <mergeCell ref="A12:I12"/>
    <mergeCell ref="U14:U15"/>
    <mergeCell ref="B14:B15"/>
    <mergeCell ref="C14:C15"/>
    <mergeCell ref="D14:D15"/>
    <mergeCell ref="E14:E15"/>
    <mergeCell ref="F14:F15"/>
    <mergeCell ref="L14:L15"/>
    <mergeCell ref="G14:G15"/>
    <mergeCell ref="H14:H15"/>
    <mergeCell ref="I14:I15"/>
    <mergeCell ref="J14:J15"/>
    <mergeCell ref="K14:K15"/>
  </mergeCells>
  <pageMargins left="0.9486607142857143" right="0.7" top="0.29141865079365081" bottom="0.10540674603174603" header="0.3" footer="0.3"/>
  <pageSetup paperSize="9" scale="25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view="pageLayout" topLeftCell="A24" zoomScaleNormal="100" workbookViewId="0">
      <selection sqref="A1:N53"/>
    </sheetView>
  </sheetViews>
  <sheetFormatPr defaultRowHeight="14.4" x14ac:dyDescent="0.3"/>
  <cols>
    <col min="1" max="1" width="12.6640625" customWidth="1"/>
    <col min="2" max="2" width="11" customWidth="1"/>
    <col min="3" max="4" width="10.5546875" customWidth="1"/>
    <col min="5" max="5" width="15.5546875" customWidth="1"/>
    <col min="6" max="6" width="12.88671875" customWidth="1"/>
    <col min="9" max="9" width="6.6640625" customWidth="1"/>
    <col min="10" max="10" width="7.109375" customWidth="1"/>
    <col min="11" max="11" width="7.6640625" customWidth="1"/>
    <col min="13" max="13" width="11.109375" customWidth="1"/>
    <col min="14" max="14" width="11.88671875" customWidth="1"/>
  </cols>
  <sheetData>
    <row r="1" spans="1:14" x14ac:dyDescent="0.3">
      <c r="A1" s="311" t="s">
        <v>102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2" spans="1:14" x14ac:dyDescent="0.3">
      <c r="A2" s="321" t="s">
        <v>288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</row>
    <row r="3" spans="1:14" x14ac:dyDescent="0.3">
      <c r="A3" s="135"/>
      <c r="B3" s="135"/>
      <c r="C3" s="135"/>
      <c r="D3" s="135"/>
      <c r="E3" s="135" t="s">
        <v>130</v>
      </c>
      <c r="F3" s="135"/>
      <c r="G3" s="135"/>
      <c r="H3" s="135"/>
      <c r="I3" s="135"/>
      <c r="J3" s="135"/>
      <c r="K3" s="135"/>
      <c r="L3" s="135"/>
      <c r="M3" s="135"/>
      <c r="N3" s="135"/>
    </row>
    <row r="4" spans="1:14" ht="15" thickBot="1" x14ac:dyDescent="0.35">
      <c r="A4" s="5"/>
      <c r="B4" s="5"/>
      <c r="C4" s="5"/>
      <c r="D4" s="5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5" customHeight="1" x14ac:dyDescent="0.3">
      <c r="A5" s="312" t="s">
        <v>103</v>
      </c>
      <c r="B5" s="314" t="s">
        <v>104</v>
      </c>
      <c r="C5" s="316" t="s">
        <v>105</v>
      </c>
      <c r="D5" s="317"/>
      <c r="E5" s="314" t="s">
        <v>106</v>
      </c>
      <c r="F5" s="314" t="s">
        <v>107</v>
      </c>
      <c r="G5" s="318" t="s">
        <v>108</v>
      </c>
      <c r="H5" s="318"/>
      <c r="I5" s="318"/>
      <c r="J5" s="318"/>
      <c r="K5" s="318"/>
      <c r="L5" s="318"/>
      <c r="M5" s="314" t="s">
        <v>109</v>
      </c>
      <c r="N5" s="319" t="s">
        <v>110</v>
      </c>
    </row>
    <row r="6" spans="1:14" ht="42" thickBot="1" x14ac:dyDescent="0.35">
      <c r="A6" s="313"/>
      <c r="B6" s="315"/>
      <c r="C6" s="136" t="s">
        <v>111</v>
      </c>
      <c r="D6" s="136" t="s">
        <v>112</v>
      </c>
      <c r="E6" s="315"/>
      <c r="F6" s="315"/>
      <c r="G6" s="136" t="s">
        <v>113</v>
      </c>
      <c r="H6" s="136" t="s">
        <v>114</v>
      </c>
      <c r="I6" s="136" t="s">
        <v>289</v>
      </c>
      <c r="J6" s="136" t="s">
        <v>115</v>
      </c>
      <c r="K6" s="136" t="s">
        <v>116</v>
      </c>
      <c r="L6" s="136" t="s">
        <v>117</v>
      </c>
      <c r="M6" s="315"/>
      <c r="N6" s="320"/>
    </row>
    <row r="7" spans="1:14" x14ac:dyDescent="0.3">
      <c r="A7" s="137">
        <v>1</v>
      </c>
      <c r="B7" s="138" t="s">
        <v>290</v>
      </c>
      <c r="C7" s="139">
        <v>26</v>
      </c>
      <c r="D7" s="139"/>
      <c r="E7" s="140">
        <v>18.5</v>
      </c>
      <c r="F7" s="140">
        <v>1</v>
      </c>
      <c r="G7" s="140"/>
      <c r="H7" s="140"/>
      <c r="I7" s="140"/>
      <c r="J7" s="140"/>
      <c r="K7" s="140"/>
      <c r="L7" s="141">
        <f>SUM(G7:K7)</f>
        <v>0</v>
      </c>
      <c r="M7" s="140">
        <f>E7+F7+L7</f>
        <v>19.5</v>
      </c>
      <c r="N7" s="142">
        <f>M7/16</f>
        <v>1.21875</v>
      </c>
    </row>
    <row r="8" spans="1:14" x14ac:dyDescent="0.3">
      <c r="A8" s="143">
        <v>2</v>
      </c>
      <c r="B8" s="144" t="s">
        <v>291</v>
      </c>
      <c r="C8" s="145">
        <v>26</v>
      </c>
      <c r="D8" s="145"/>
      <c r="E8" s="146">
        <v>18.5</v>
      </c>
      <c r="F8" s="146">
        <v>1</v>
      </c>
      <c r="G8" s="146"/>
      <c r="H8" s="146"/>
      <c r="I8" s="146"/>
      <c r="J8" s="146"/>
      <c r="K8" s="146"/>
      <c r="L8" s="147">
        <f t="shared" ref="L8:L9" si="0">SUM(G8:K8)</f>
        <v>0</v>
      </c>
      <c r="M8" s="146">
        <f t="shared" ref="M8:M9" si="1">E8+F8+L8</f>
        <v>19.5</v>
      </c>
      <c r="N8" s="148">
        <f t="shared" ref="N8:N9" si="2">M8/16</f>
        <v>1.21875</v>
      </c>
    </row>
    <row r="9" spans="1:14" x14ac:dyDescent="0.3">
      <c r="A9" s="143">
        <v>3</v>
      </c>
      <c r="B9" s="144" t="s">
        <v>292</v>
      </c>
      <c r="C9" s="145">
        <v>27</v>
      </c>
      <c r="D9" s="145"/>
      <c r="E9" s="146">
        <v>18.5</v>
      </c>
      <c r="F9" s="146">
        <v>1</v>
      </c>
      <c r="G9" s="146"/>
      <c r="H9" s="146"/>
      <c r="I9" s="146"/>
      <c r="J9" s="146"/>
      <c r="K9" s="146"/>
      <c r="L9" s="147">
        <f t="shared" si="0"/>
        <v>0</v>
      </c>
      <c r="M9" s="146">
        <f t="shared" si="1"/>
        <v>19.5</v>
      </c>
      <c r="N9" s="148">
        <f t="shared" si="2"/>
        <v>1.21875</v>
      </c>
    </row>
    <row r="10" spans="1:14" ht="15" thickBot="1" x14ac:dyDescent="0.35">
      <c r="A10" s="143">
        <v>4</v>
      </c>
      <c r="B10" s="144" t="s">
        <v>293</v>
      </c>
      <c r="C10" s="145">
        <v>26</v>
      </c>
      <c r="D10" s="145">
        <v>1</v>
      </c>
      <c r="E10" s="146">
        <v>18.5</v>
      </c>
      <c r="F10" s="146">
        <v>1</v>
      </c>
      <c r="G10" s="146"/>
      <c r="H10" s="146"/>
      <c r="I10" s="146"/>
      <c r="J10" s="146"/>
      <c r="K10" s="146"/>
      <c r="L10" s="147">
        <f>SUM(G10:K10)</f>
        <v>0</v>
      </c>
      <c r="M10" s="146">
        <f>E10+F10+L10</f>
        <v>19.5</v>
      </c>
      <c r="N10" s="148">
        <f>M10/16</f>
        <v>1.21875</v>
      </c>
    </row>
    <row r="11" spans="1:14" x14ac:dyDescent="0.3">
      <c r="A11" s="137">
        <v>9</v>
      </c>
      <c r="B11" s="138" t="s">
        <v>294</v>
      </c>
      <c r="C11" s="139">
        <v>23</v>
      </c>
      <c r="D11" s="139">
        <v>1</v>
      </c>
      <c r="E11" s="140">
        <v>22</v>
      </c>
      <c r="F11" s="140">
        <v>2</v>
      </c>
      <c r="G11" s="140"/>
      <c r="H11" s="140"/>
      <c r="I11" s="140"/>
      <c r="J11" s="140"/>
      <c r="K11" s="140"/>
      <c r="L11" s="141">
        <f>SUM(G11:K11)</f>
        <v>0</v>
      </c>
      <c r="M11" s="140">
        <f>E11+F11+L11</f>
        <v>24</v>
      </c>
      <c r="N11" s="142">
        <f>M11/16</f>
        <v>1.5</v>
      </c>
    </row>
    <row r="12" spans="1:14" x14ac:dyDescent="0.3">
      <c r="A12" s="143">
        <v>10</v>
      </c>
      <c r="B12" s="144" t="s">
        <v>295</v>
      </c>
      <c r="C12" s="145">
        <v>21</v>
      </c>
      <c r="D12" s="145">
        <v>1</v>
      </c>
      <c r="E12" s="149">
        <v>22</v>
      </c>
      <c r="F12" s="149">
        <v>2</v>
      </c>
      <c r="G12" s="149"/>
      <c r="H12" s="146"/>
      <c r="I12" s="146"/>
      <c r="J12" s="146"/>
      <c r="K12" s="146"/>
      <c r="L12" s="147">
        <f t="shared" ref="L12:L13" si="3">SUM(G12:K12)</f>
        <v>0</v>
      </c>
      <c r="M12" s="146">
        <f t="shared" ref="M12:M13" si="4">E12+F12+L12</f>
        <v>24</v>
      </c>
      <c r="N12" s="148">
        <f t="shared" ref="N12:N13" si="5">M12/16</f>
        <v>1.5</v>
      </c>
    </row>
    <row r="13" spans="1:14" x14ac:dyDescent="0.3">
      <c r="A13" s="143">
        <v>11</v>
      </c>
      <c r="B13" s="144" t="s">
        <v>296</v>
      </c>
      <c r="C13" s="145">
        <v>21</v>
      </c>
      <c r="D13" s="145">
        <v>1</v>
      </c>
      <c r="E13" s="149">
        <v>22</v>
      </c>
      <c r="F13" s="149">
        <v>2</v>
      </c>
      <c r="G13" s="149"/>
      <c r="H13" s="146"/>
      <c r="I13" s="146"/>
      <c r="J13" s="146"/>
      <c r="K13" s="146"/>
      <c r="L13" s="147">
        <f t="shared" si="3"/>
        <v>0</v>
      </c>
      <c r="M13" s="146">
        <f t="shared" si="4"/>
        <v>24</v>
      </c>
      <c r="N13" s="148">
        <f t="shared" si="5"/>
        <v>1.5</v>
      </c>
    </row>
    <row r="14" spans="1:14" ht="15" thickBot="1" x14ac:dyDescent="0.35">
      <c r="A14" s="143">
        <v>12</v>
      </c>
      <c r="B14" s="144" t="s">
        <v>297</v>
      </c>
      <c r="C14" s="145">
        <v>22</v>
      </c>
      <c r="D14" s="145">
        <v>1</v>
      </c>
      <c r="E14" s="149">
        <v>22</v>
      </c>
      <c r="F14" s="149">
        <v>2</v>
      </c>
      <c r="G14" s="149"/>
      <c r="H14" s="146"/>
      <c r="I14" s="146"/>
      <c r="J14" s="146"/>
      <c r="K14" s="146"/>
      <c r="L14" s="147">
        <f>SUM(G14:K14)</f>
        <v>0</v>
      </c>
      <c r="M14" s="146">
        <f>E14+F14+L14</f>
        <v>24</v>
      </c>
      <c r="N14" s="148">
        <f>M14/16</f>
        <v>1.5</v>
      </c>
    </row>
    <row r="15" spans="1:14" x14ac:dyDescent="0.3">
      <c r="A15" s="137">
        <v>15</v>
      </c>
      <c r="B15" s="138" t="s">
        <v>298</v>
      </c>
      <c r="C15" s="139">
        <v>26</v>
      </c>
      <c r="D15" s="139"/>
      <c r="E15" s="140">
        <v>25</v>
      </c>
      <c r="F15" s="140">
        <v>1</v>
      </c>
      <c r="G15" s="140">
        <v>1</v>
      </c>
      <c r="H15" s="140">
        <v>2</v>
      </c>
      <c r="I15" s="140"/>
      <c r="J15" s="140"/>
      <c r="K15" s="140"/>
      <c r="L15" s="141">
        <f t="shared" ref="L15:L16" si="6">SUM(G15:K15)</f>
        <v>3</v>
      </c>
      <c r="M15" s="140">
        <f t="shared" ref="M15:M16" si="7">E15+F15+L15</f>
        <v>29</v>
      </c>
      <c r="N15" s="142">
        <f t="shared" ref="N15:N16" si="8">M15/16</f>
        <v>1.8125</v>
      </c>
    </row>
    <row r="16" spans="1:14" x14ac:dyDescent="0.3">
      <c r="A16" s="143">
        <v>16</v>
      </c>
      <c r="B16" s="144" t="s">
        <v>299</v>
      </c>
      <c r="C16" s="145">
        <v>24</v>
      </c>
      <c r="D16" s="145"/>
      <c r="E16" s="149">
        <v>25</v>
      </c>
      <c r="F16" s="149">
        <v>1</v>
      </c>
      <c r="G16" s="149">
        <v>1</v>
      </c>
      <c r="H16" s="146">
        <v>2</v>
      </c>
      <c r="I16" s="146"/>
      <c r="J16" s="146"/>
      <c r="K16" s="146"/>
      <c r="L16" s="147">
        <f t="shared" si="6"/>
        <v>3</v>
      </c>
      <c r="M16" s="146">
        <f t="shared" si="7"/>
        <v>29</v>
      </c>
      <c r="N16" s="148">
        <f t="shared" si="8"/>
        <v>1.8125</v>
      </c>
    </row>
    <row r="17" spans="1:14" x14ac:dyDescent="0.3">
      <c r="A17" s="143">
        <v>17</v>
      </c>
      <c r="B17" s="144" t="s">
        <v>300</v>
      </c>
      <c r="C17" s="145">
        <v>24</v>
      </c>
      <c r="D17" s="145"/>
      <c r="E17" s="149">
        <v>25</v>
      </c>
      <c r="F17" s="149">
        <v>1</v>
      </c>
      <c r="G17" s="149">
        <v>1</v>
      </c>
      <c r="H17" s="146">
        <v>2</v>
      </c>
      <c r="I17" s="146"/>
      <c r="J17" s="146"/>
      <c r="K17" s="146"/>
      <c r="L17" s="147">
        <f>SUM(G17:K17)</f>
        <v>3</v>
      </c>
      <c r="M17" s="146">
        <f>E17+F17+L17</f>
        <v>29</v>
      </c>
      <c r="N17" s="148">
        <f>M17/16</f>
        <v>1.8125</v>
      </c>
    </row>
    <row r="18" spans="1:14" ht="15" thickBot="1" x14ac:dyDescent="0.35">
      <c r="A18" s="143">
        <v>18</v>
      </c>
      <c r="B18" s="144" t="s">
        <v>301</v>
      </c>
      <c r="C18" s="145">
        <v>24</v>
      </c>
      <c r="D18" s="145">
        <v>2</v>
      </c>
      <c r="E18" s="149">
        <v>25</v>
      </c>
      <c r="F18" s="149">
        <v>1</v>
      </c>
      <c r="G18" s="149">
        <v>1</v>
      </c>
      <c r="H18" s="146">
        <v>2</v>
      </c>
      <c r="I18" s="146"/>
      <c r="J18" s="146"/>
      <c r="K18" s="146"/>
      <c r="L18" s="147">
        <f t="shared" ref="L18" si="9">SUM(G18:K18)</f>
        <v>3</v>
      </c>
      <c r="M18" s="146">
        <f t="shared" ref="M18:M23" si="10">E18+F18+L18</f>
        <v>29</v>
      </c>
      <c r="N18" s="148">
        <f t="shared" ref="N18:N20" si="11">M18/16</f>
        <v>1.8125</v>
      </c>
    </row>
    <row r="19" spans="1:14" x14ac:dyDescent="0.3">
      <c r="A19" s="137">
        <v>23</v>
      </c>
      <c r="B19" s="138" t="s">
        <v>302</v>
      </c>
      <c r="C19" s="139">
        <v>25</v>
      </c>
      <c r="D19" s="139">
        <v>1</v>
      </c>
      <c r="E19" s="140">
        <v>25</v>
      </c>
      <c r="F19" s="140">
        <v>1</v>
      </c>
      <c r="G19" s="140">
        <v>1</v>
      </c>
      <c r="H19" s="140">
        <v>2</v>
      </c>
      <c r="I19" s="140"/>
      <c r="J19" s="140"/>
      <c r="K19" s="140"/>
      <c r="L19" s="141">
        <f t="shared" ref="L19:L22" si="12">SUM(G19:K19)</f>
        <v>3</v>
      </c>
      <c r="M19" s="140">
        <f t="shared" si="10"/>
        <v>29</v>
      </c>
      <c r="N19" s="142">
        <f t="shared" si="11"/>
        <v>1.8125</v>
      </c>
    </row>
    <row r="20" spans="1:14" x14ac:dyDescent="0.3">
      <c r="A20" s="143">
        <v>24</v>
      </c>
      <c r="B20" s="144" t="s">
        <v>303</v>
      </c>
      <c r="C20" s="145">
        <v>24</v>
      </c>
      <c r="D20" s="145">
        <v>1</v>
      </c>
      <c r="E20" s="149">
        <v>25</v>
      </c>
      <c r="F20" s="149">
        <v>1</v>
      </c>
      <c r="G20" s="149">
        <v>1</v>
      </c>
      <c r="H20" s="146">
        <v>2</v>
      </c>
      <c r="I20" s="146"/>
      <c r="J20" s="146"/>
      <c r="K20" s="146"/>
      <c r="L20" s="147">
        <f t="shared" si="12"/>
        <v>3</v>
      </c>
      <c r="M20" s="146">
        <f t="shared" si="10"/>
        <v>29</v>
      </c>
      <c r="N20" s="148">
        <f t="shared" si="11"/>
        <v>1.8125</v>
      </c>
    </row>
    <row r="21" spans="1:14" x14ac:dyDescent="0.3">
      <c r="A21" s="143">
        <v>25</v>
      </c>
      <c r="B21" s="144" t="s">
        <v>304</v>
      </c>
      <c r="C21" s="145">
        <v>23</v>
      </c>
      <c r="D21" s="145"/>
      <c r="E21" s="149">
        <v>25</v>
      </c>
      <c r="F21" s="149">
        <v>1</v>
      </c>
      <c r="G21" s="149"/>
      <c r="H21" s="146"/>
      <c r="I21" s="146"/>
      <c r="J21" s="146"/>
      <c r="K21" s="146"/>
      <c r="L21" s="147">
        <f t="shared" si="12"/>
        <v>0</v>
      </c>
      <c r="M21" s="146">
        <f t="shared" si="10"/>
        <v>26</v>
      </c>
      <c r="N21" s="148">
        <f>M21/16</f>
        <v>1.625</v>
      </c>
    </row>
    <row r="22" spans="1:14" ht="15" thickBot="1" x14ac:dyDescent="0.35">
      <c r="A22" s="143">
        <v>26</v>
      </c>
      <c r="B22" s="144" t="s">
        <v>305</v>
      </c>
      <c r="C22" s="145">
        <v>22</v>
      </c>
      <c r="D22" s="145"/>
      <c r="E22" s="149">
        <v>25</v>
      </c>
      <c r="F22" s="149">
        <v>1</v>
      </c>
      <c r="G22" s="149"/>
      <c r="H22" s="146"/>
      <c r="I22" s="146">
        <v>14</v>
      </c>
      <c r="J22" s="146"/>
      <c r="K22" s="146"/>
      <c r="L22" s="147">
        <f t="shared" si="12"/>
        <v>14</v>
      </c>
      <c r="M22" s="146">
        <f t="shared" si="10"/>
        <v>40</v>
      </c>
      <c r="N22" s="148">
        <f t="shared" ref="N22:N23" si="13">M22/16</f>
        <v>2.5</v>
      </c>
    </row>
    <row r="23" spans="1:14" ht="15" thickBot="1" x14ac:dyDescent="0.35">
      <c r="A23" s="150" t="s">
        <v>118</v>
      </c>
      <c r="B23" s="151"/>
      <c r="C23" s="152">
        <v>384</v>
      </c>
      <c r="D23" s="152">
        <f>SUM(D8:D22)</f>
        <v>9</v>
      </c>
      <c r="E23" s="153">
        <f>SUM(E7:E22)</f>
        <v>362</v>
      </c>
      <c r="F23" s="153">
        <f>SUM(F7:F22)</f>
        <v>20</v>
      </c>
      <c r="G23" s="153">
        <f>SUM(G11:G22)</f>
        <v>6</v>
      </c>
      <c r="H23" s="153">
        <f>SUM(H15:H22)</f>
        <v>12</v>
      </c>
      <c r="I23" s="153">
        <f>SUM(I11:I22)</f>
        <v>14</v>
      </c>
      <c r="J23" s="153"/>
      <c r="K23" s="153"/>
      <c r="L23" s="154">
        <v>32</v>
      </c>
      <c r="M23" s="153">
        <f t="shared" si="10"/>
        <v>414</v>
      </c>
      <c r="N23" s="155">
        <f t="shared" si="13"/>
        <v>25.875</v>
      </c>
    </row>
    <row r="24" spans="1:14" x14ac:dyDescent="0.3">
      <c r="A24" s="137"/>
      <c r="B24" s="156" t="s">
        <v>306</v>
      </c>
      <c r="C24" s="139">
        <v>22</v>
      </c>
      <c r="D24" s="139"/>
      <c r="E24" s="157">
        <v>28</v>
      </c>
      <c r="F24" s="157">
        <v>0.5</v>
      </c>
      <c r="G24" s="140"/>
      <c r="H24" s="140"/>
      <c r="I24" s="140"/>
      <c r="J24" s="140"/>
      <c r="K24" s="140">
        <v>2</v>
      </c>
      <c r="L24" s="141">
        <f>SUM(G24:K24)</f>
        <v>2</v>
      </c>
      <c r="M24" s="140">
        <f>E24+F24+L24</f>
        <v>30.5</v>
      </c>
      <c r="N24" s="142">
        <f>M24/16</f>
        <v>1.90625</v>
      </c>
    </row>
    <row r="25" spans="1:14" x14ac:dyDescent="0.3">
      <c r="A25" s="143"/>
      <c r="B25" s="158" t="s">
        <v>307</v>
      </c>
      <c r="C25" s="145">
        <v>24</v>
      </c>
      <c r="D25" s="145"/>
      <c r="E25" s="146">
        <v>28</v>
      </c>
      <c r="F25" s="146">
        <v>0.5</v>
      </c>
      <c r="G25" s="159">
        <v>1</v>
      </c>
      <c r="H25" s="146">
        <v>3</v>
      </c>
      <c r="I25" s="146"/>
      <c r="J25" s="146"/>
      <c r="K25" s="146">
        <v>2</v>
      </c>
      <c r="L25" s="147">
        <f t="shared" ref="L25:L26" si="14">SUM(G25:K25)</f>
        <v>6</v>
      </c>
      <c r="M25" s="146">
        <f t="shared" ref="M25:M26" si="15">E25+F25+L25</f>
        <v>34.5</v>
      </c>
      <c r="N25" s="148">
        <f t="shared" ref="N25:N26" si="16">M25/16</f>
        <v>2.15625</v>
      </c>
    </row>
    <row r="26" spans="1:14" x14ac:dyDescent="0.3">
      <c r="A26" s="143"/>
      <c r="B26" s="158" t="s">
        <v>308</v>
      </c>
      <c r="C26" s="145">
        <v>23</v>
      </c>
      <c r="D26" s="145"/>
      <c r="E26" s="146">
        <v>28</v>
      </c>
      <c r="F26" s="146">
        <v>0.5</v>
      </c>
      <c r="G26" s="146"/>
      <c r="H26" s="146"/>
      <c r="I26" s="146"/>
      <c r="J26" s="146"/>
      <c r="K26" s="146">
        <v>2</v>
      </c>
      <c r="L26" s="147">
        <f t="shared" si="14"/>
        <v>2</v>
      </c>
      <c r="M26" s="146">
        <f t="shared" si="15"/>
        <v>30.5</v>
      </c>
      <c r="N26" s="148">
        <f t="shared" si="16"/>
        <v>1.90625</v>
      </c>
    </row>
    <row r="27" spans="1:14" ht="15" thickBot="1" x14ac:dyDescent="0.35">
      <c r="A27" s="143"/>
      <c r="B27" s="158" t="s">
        <v>309</v>
      </c>
      <c r="C27" s="145">
        <v>22</v>
      </c>
      <c r="D27" s="145"/>
      <c r="E27" s="146">
        <v>28</v>
      </c>
      <c r="F27" s="146">
        <v>0.5</v>
      </c>
      <c r="G27" s="146"/>
      <c r="H27" s="146"/>
      <c r="I27" s="146"/>
      <c r="J27" s="146"/>
      <c r="K27" s="146"/>
      <c r="L27" s="147">
        <f>SUM(G27:K27)</f>
        <v>0</v>
      </c>
      <c r="M27" s="146">
        <f>E27+F27+L27</f>
        <v>28.5</v>
      </c>
      <c r="N27" s="148">
        <f>M27/16</f>
        <v>1.78125</v>
      </c>
    </row>
    <row r="28" spans="1:14" x14ac:dyDescent="0.3">
      <c r="A28" s="137"/>
      <c r="B28" s="156" t="s">
        <v>310</v>
      </c>
      <c r="C28" s="139">
        <v>22</v>
      </c>
      <c r="D28" s="139"/>
      <c r="E28" s="157">
        <v>28</v>
      </c>
      <c r="F28" s="157">
        <v>0.5</v>
      </c>
      <c r="G28" s="140"/>
      <c r="H28" s="140"/>
      <c r="I28" s="140"/>
      <c r="J28" s="140"/>
      <c r="K28" s="140">
        <v>2</v>
      </c>
      <c r="L28" s="141">
        <f>SUM(G28:K28)</f>
        <v>2</v>
      </c>
      <c r="M28" s="140">
        <f>E28+F28+L28</f>
        <v>30.5</v>
      </c>
      <c r="N28" s="142">
        <f>M28/16</f>
        <v>1.90625</v>
      </c>
    </row>
    <row r="29" spans="1:14" x14ac:dyDescent="0.3">
      <c r="A29" s="143"/>
      <c r="B29" s="158" t="s">
        <v>311</v>
      </c>
      <c r="C29" s="145">
        <v>24</v>
      </c>
      <c r="D29" s="145"/>
      <c r="E29" s="146">
        <v>28</v>
      </c>
      <c r="F29" s="146">
        <v>0.5</v>
      </c>
      <c r="G29" s="146">
        <v>1</v>
      </c>
      <c r="H29" s="146">
        <v>3</v>
      </c>
      <c r="I29" s="146"/>
      <c r="J29" s="146"/>
      <c r="K29" s="146">
        <v>2</v>
      </c>
      <c r="L29" s="147">
        <f t="shared" ref="L29:L30" si="17">SUM(G29:K29)</f>
        <v>6</v>
      </c>
      <c r="M29" s="146">
        <f t="shared" ref="M29:M30" si="18">E29+F29+L29</f>
        <v>34.5</v>
      </c>
      <c r="N29" s="148">
        <f t="shared" ref="N29:N30" si="19">M29/16</f>
        <v>2.15625</v>
      </c>
    </row>
    <row r="30" spans="1:14" x14ac:dyDescent="0.3">
      <c r="A30" s="143"/>
      <c r="B30" s="158" t="s">
        <v>312</v>
      </c>
      <c r="C30" s="145">
        <v>22</v>
      </c>
      <c r="D30" s="145">
        <v>1</v>
      </c>
      <c r="E30" s="146">
        <v>28</v>
      </c>
      <c r="F30" s="146">
        <v>0.5</v>
      </c>
      <c r="G30" s="146"/>
      <c r="H30" s="146"/>
      <c r="I30" s="146"/>
      <c r="J30" s="146"/>
      <c r="K30" s="146">
        <v>2</v>
      </c>
      <c r="L30" s="147">
        <f t="shared" si="17"/>
        <v>2</v>
      </c>
      <c r="M30" s="146">
        <f t="shared" si="18"/>
        <v>30.5</v>
      </c>
      <c r="N30" s="148">
        <f t="shared" si="19"/>
        <v>1.90625</v>
      </c>
    </row>
    <row r="31" spans="1:14" ht="15" thickBot="1" x14ac:dyDescent="0.35">
      <c r="A31" s="160"/>
      <c r="B31" s="161" t="s">
        <v>313</v>
      </c>
      <c r="C31" s="162">
        <v>25</v>
      </c>
      <c r="D31" s="162"/>
      <c r="E31" s="163">
        <v>28</v>
      </c>
      <c r="F31" s="163">
        <v>0.5</v>
      </c>
      <c r="G31" s="163">
        <v>1</v>
      </c>
      <c r="H31" s="163">
        <v>3</v>
      </c>
      <c r="I31" s="163"/>
      <c r="J31" s="163"/>
      <c r="K31" s="163"/>
      <c r="L31" s="164">
        <f>SUM(G31:K31)</f>
        <v>4</v>
      </c>
      <c r="M31" s="163">
        <f>E31+F31+L31</f>
        <v>32.5</v>
      </c>
      <c r="N31" s="165">
        <f>M31/16</f>
        <v>2.03125</v>
      </c>
    </row>
    <row r="32" spans="1:14" x14ac:dyDescent="0.3">
      <c r="A32" s="166"/>
      <c r="B32" s="167" t="s">
        <v>314</v>
      </c>
      <c r="C32" s="168">
        <v>26</v>
      </c>
      <c r="D32" s="168"/>
      <c r="E32" s="159">
        <v>31</v>
      </c>
      <c r="F32" s="159">
        <v>0.5</v>
      </c>
      <c r="G32" s="159">
        <v>1</v>
      </c>
      <c r="H32" s="149">
        <v>3</v>
      </c>
      <c r="I32" s="149"/>
      <c r="J32" s="149"/>
      <c r="K32" s="159">
        <v>1</v>
      </c>
      <c r="L32" s="169">
        <f>SUM(G32:K32)</f>
        <v>5</v>
      </c>
      <c r="M32" s="149">
        <f>E32+F32+L32</f>
        <v>36.5</v>
      </c>
      <c r="N32" s="170">
        <f>M32/16</f>
        <v>2.28125</v>
      </c>
    </row>
    <row r="33" spans="1:14" x14ac:dyDescent="0.3">
      <c r="A33" s="171"/>
      <c r="B33" s="158" t="s">
        <v>315</v>
      </c>
      <c r="C33" s="145">
        <v>21</v>
      </c>
      <c r="D33" s="145"/>
      <c r="E33" s="146">
        <v>31</v>
      </c>
      <c r="F33" s="146">
        <v>0.5</v>
      </c>
      <c r="G33" s="146"/>
      <c r="H33" s="146"/>
      <c r="I33" s="146">
        <v>18</v>
      </c>
      <c r="J33" s="146"/>
      <c r="K33" s="146">
        <v>1</v>
      </c>
      <c r="L33" s="147">
        <f t="shared" ref="L33:L35" si="20">SUM(G33:K33)</f>
        <v>19</v>
      </c>
      <c r="M33" s="146">
        <f t="shared" ref="M33:M35" si="21">E33+F33+L33</f>
        <v>50.5</v>
      </c>
      <c r="N33" s="148">
        <f t="shared" ref="N33:N35" si="22">M33/16</f>
        <v>3.15625</v>
      </c>
    </row>
    <row r="34" spans="1:14" x14ac:dyDescent="0.3">
      <c r="A34" s="171"/>
      <c r="B34" s="158" t="s">
        <v>316</v>
      </c>
      <c r="C34" s="145">
        <v>25</v>
      </c>
      <c r="D34" s="145">
        <v>1</v>
      </c>
      <c r="E34" s="146">
        <v>31</v>
      </c>
      <c r="F34" s="146">
        <v>0.5</v>
      </c>
      <c r="G34" s="146">
        <v>1</v>
      </c>
      <c r="H34" s="146">
        <v>3</v>
      </c>
      <c r="I34" s="146"/>
      <c r="J34" s="146"/>
      <c r="K34" s="146">
        <v>1</v>
      </c>
      <c r="L34" s="147">
        <f t="shared" si="20"/>
        <v>5</v>
      </c>
      <c r="M34" s="146">
        <f t="shared" si="21"/>
        <v>36.5</v>
      </c>
      <c r="N34" s="148">
        <f t="shared" si="22"/>
        <v>2.28125</v>
      </c>
    </row>
    <row r="35" spans="1:14" ht="15" thickBot="1" x14ac:dyDescent="0.35">
      <c r="A35" s="171"/>
      <c r="B35" s="158" t="s">
        <v>317</v>
      </c>
      <c r="C35" s="145">
        <v>25</v>
      </c>
      <c r="D35" s="145">
        <v>1</v>
      </c>
      <c r="E35" s="146">
        <v>31</v>
      </c>
      <c r="F35" s="146">
        <v>0.5</v>
      </c>
      <c r="G35" s="146">
        <v>1</v>
      </c>
      <c r="H35" s="146">
        <v>3</v>
      </c>
      <c r="I35" s="146"/>
      <c r="J35" s="146"/>
      <c r="K35" s="146">
        <v>1</v>
      </c>
      <c r="L35" s="147">
        <f t="shared" si="20"/>
        <v>5</v>
      </c>
      <c r="M35" s="146">
        <f t="shared" si="21"/>
        <v>36.5</v>
      </c>
      <c r="N35" s="148">
        <f t="shared" si="22"/>
        <v>2.28125</v>
      </c>
    </row>
    <row r="36" spans="1:14" x14ac:dyDescent="0.3">
      <c r="A36" s="137"/>
      <c r="B36" s="156" t="s">
        <v>318</v>
      </c>
      <c r="C36" s="139">
        <v>22</v>
      </c>
      <c r="D36" s="139"/>
      <c r="E36" s="157">
        <v>32</v>
      </c>
      <c r="F36" s="157">
        <v>0.5</v>
      </c>
      <c r="G36" s="157"/>
      <c r="H36" s="140"/>
      <c r="I36" s="140"/>
      <c r="J36" s="140"/>
      <c r="K36" s="140">
        <v>1</v>
      </c>
      <c r="L36" s="141">
        <f>SUM(G36:K36)</f>
        <v>1</v>
      </c>
      <c r="M36" s="140">
        <f>E36+F36+L36</f>
        <v>33.5</v>
      </c>
      <c r="N36" s="142">
        <f>M36/16</f>
        <v>2.09375</v>
      </c>
    </row>
    <row r="37" spans="1:14" x14ac:dyDescent="0.3">
      <c r="A37" s="143"/>
      <c r="B37" s="158" t="s">
        <v>319</v>
      </c>
      <c r="C37" s="145">
        <v>23</v>
      </c>
      <c r="D37" s="145"/>
      <c r="E37" s="146">
        <v>32</v>
      </c>
      <c r="F37" s="146">
        <v>0.5</v>
      </c>
      <c r="G37" s="146"/>
      <c r="H37" s="146"/>
      <c r="I37" s="146"/>
      <c r="J37" s="146"/>
      <c r="K37" s="146">
        <v>1</v>
      </c>
      <c r="L37" s="147">
        <f t="shared" ref="L37:L38" si="23">SUM(G37:K37)</f>
        <v>1</v>
      </c>
      <c r="M37" s="146">
        <f t="shared" ref="M37:M38" si="24">E37+F37+L37</f>
        <v>33.5</v>
      </c>
      <c r="N37" s="148">
        <f t="shared" ref="N37:N38" si="25">M37/16</f>
        <v>2.09375</v>
      </c>
    </row>
    <row r="38" spans="1:14" x14ac:dyDescent="0.3">
      <c r="A38" s="143"/>
      <c r="B38" s="158" t="s">
        <v>320</v>
      </c>
      <c r="C38" s="145">
        <v>24</v>
      </c>
      <c r="D38" s="145"/>
      <c r="E38" s="146">
        <v>32</v>
      </c>
      <c r="F38" s="146">
        <v>0.5</v>
      </c>
      <c r="G38" s="146"/>
      <c r="H38" s="146">
        <v>3</v>
      </c>
      <c r="I38" s="146"/>
      <c r="J38" s="146"/>
      <c r="K38" s="146">
        <v>1</v>
      </c>
      <c r="L38" s="147">
        <f t="shared" si="23"/>
        <v>4</v>
      </c>
      <c r="M38" s="146">
        <f t="shared" si="24"/>
        <v>36.5</v>
      </c>
      <c r="N38" s="148">
        <f t="shared" si="25"/>
        <v>2.28125</v>
      </c>
    </row>
    <row r="39" spans="1:14" ht="15" thickBot="1" x14ac:dyDescent="0.35">
      <c r="A39" s="143"/>
      <c r="B39" s="158" t="s">
        <v>321</v>
      </c>
      <c r="C39" s="145">
        <v>24</v>
      </c>
      <c r="D39" s="145"/>
      <c r="E39" s="146">
        <v>32</v>
      </c>
      <c r="F39" s="146">
        <v>0.5</v>
      </c>
      <c r="G39" s="146">
        <v>1</v>
      </c>
      <c r="H39" s="146">
        <v>3</v>
      </c>
      <c r="I39" s="146"/>
      <c r="J39" s="146"/>
      <c r="K39" s="146">
        <v>1</v>
      </c>
      <c r="L39" s="147">
        <f>SUM(G39:K39)</f>
        <v>5</v>
      </c>
      <c r="M39" s="146">
        <f>E39+F39+L39</f>
        <v>37.5</v>
      </c>
      <c r="N39" s="148">
        <f>M39/16</f>
        <v>2.34375</v>
      </c>
    </row>
    <row r="40" spans="1:14" x14ac:dyDescent="0.3">
      <c r="A40" s="137"/>
      <c r="B40" s="156" t="s">
        <v>322</v>
      </c>
      <c r="C40" s="139">
        <v>27</v>
      </c>
      <c r="D40" s="172"/>
      <c r="E40" s="157">
        <v>33</v>
      </c>
      <c r="F40" s="157">
        <v>1</v>
      </c>
      <c r="G40" s="140">
        <v>1</v>
      </c>
      <c r="H40" s="140">
        <v>3</v>
      </c>
      <c r="I40" s="140"/>
      <c r="J40" s="140"/>
      <c r="K40" s="140">
        <v>1</v>
      </c>
      <c r="L40" s="141">
        <f t="shared" ref="L40:L41" si="26">SUM(G40:K40)</f>
        <v>5</v>
      </c>
      <c r="M40" s="140">
        <f t="shared" ref="M40:M41" si="27">E40+F40+L40</f>
        <v>39</v>
      </c>
      <c r="N40" s="142">
        <f t="shared" ref="N40:N41" si="28">M40/16</f>
        <v>2.4375</v>
      </c>
    </row>
    <row r="41" spans="1:14" x14ac:dyDescent="0.3">
      <c r="A41" s="143"/>
      <c r="B41" s="158" t="s">
        <v>323</v>
      </c>
      <c r="C41" s="145">
        <v>26</v>
      </c>
      <c r="D41" s="173"/>
      <c r="E41" s="146">
        <v>33</v>
      </c>
      <c r="F41" s="146">
        <v>1</v>
      </c>
      <c r="G41" s="146">
        <v>1</v>
      </c>
      <c r="H41" s="146">
        <v>3</v>
      </c>
      <c r="I41" s="146"/>
      <c r="J41" s="146"/>
      <c r="K41" s="146">
        <v>1</v>
      </c>
      <c r="L41" s="147">
        <f t="shared" si="26"/>
        <v>5</v>
      </c>
      <c r="M41" s="146">
        <f t="shared" si="27"/>
        <v>39</v>
      </c>
      <c r="N41" s="148">
        <f t="shared" si="28"/>
        <v>2.4375</v>
      </c>
    </row>
    <row r="42" spans="1:14" ht="15" thickBot="1" x14ac:dyDescent="0.35">
      <c r="A42" s="143"/>
      <c r="B42" s="158" t="s">
        <v>324</v>
      </c>
      <c r="C42" s="145">
        <v>26</v>
      </c>
      <c r="D42" s="173"/>
      <c r="E42" s="146">
        <v>33</v>
      </c>
      <c r="F42" s="146">
        <v>1</v>
      </c>
      <c r="G42" s="146">
        <v>1</v>
      </c>
      <c r="H42" s="146">
        <v>3</v>
      </c>
      <c r="I42" s="146"/>
      <c r="J42" s="146"/>
      <c r="K42" s="146">
        <v>1</v>
      </c>
      <c r="L42" s="147">
        <f>SUM(G42:K42)</f>
        <v>5</v>
      </c>
      <c r="M42" s="146">
        <f>E42+F42+L42</f>
        <v>39</v>
      </c>
      <c r="N42" s="148">
        <f>M42/16</f>
        <v>2.4375</v>
      </c>
    </row>
    <row r="43" spans="1:14" ht="15" thickBot="1" x14ac:dyDescent="0.35">
      <c r="A43" s="150" t="s">
        <v>119</v>
      </c>
      <c r="B43" s="152"/>
      <c r="C43" s="152">
        <v>453</v>
      </c>
      <c r="D43" s="152">
        <f t="shared" ref="D43:I43" si="29">SUM(D24:D42)</f>
        <v>3</v>
      </c>
      <c r="E43" s="153">
        <f t="shared" si="29"/>
        <v>575</v>
      </c>
      <c r="F43" s="153">
        <f t="shared" si="29"/>
        <v>11</v>
      </c>
      <c r="G43" s="153">
        <f t="shared" si="29"/>
        <v>10</v>
      </c>
      <c r="H43" s="153">
        <f t="shared" si="29"/>
        <v>33</v>
      </c>
      <c r="I43" s="153">
        <f t="shared" si="29"/>
        <v>18</v>
      </c>
      <c r="J43" s="153"/>
      <c r="K43" s="153">
        <f>SUM(K24:K42)</f>
        <v>23</v>
      </c>
      <c r="L43" s="154">
        <f t="shared" ref="L43:L48" si="30">SUM(G43:K43)</f>
        <v>84</v>
      </c>
      <c r="M43" s="153">
        <f t="shared" ref="M43:M47" si="31">E43+F43+L43</f>
        <v>670</v>
      </c>
      <c r="N43" s="155">
        <f t="shared" ref="N43:N49" si="32">M43/16</f>
        <v>41.875</v>
      </c>
    </row>
    <row r="44" spans="1:14" x14ac:dyDescent="0.3">
      <c r="A44" s="174"/>
      <c r="B44" s="139" t="s">
        <v>325</v>
      </c>
      <c r="C44" s="139">
        <v>16</v>
      </c>
      <c r="D44" s="175"/>
      <c r="E44" s="140">
        <v>28</v>
      </c>
      <c r="F44" s="140">
        <v>6</v>
      </c>
      <c r="G44" s="140">
        <v>2</v>
      </c>
      <c r="H44" s="140">
        <v>3</v>
      </c>
      <c r="I44" s="140"/>
      <c r="J44" s="140"/>
      <c r="K44" s="140"/>
      <c r="L44" s="141">
        <f t="shared" si="30"/>
        <v>5</v>
      </c>
      <c r="M44" s="140">
        <f t="shared" si="31"/>
        <v>39</v>
      </c>
      <c r="N44" s="142">
        <f t="shared" si="32"/>
        <v>2.4375</v>
      </c>
    </row>
    <row r="45" spans="1:14" ht="15" thickBot="1" x14ac:dyDescent="0.35">
      <c r="A45" s="171"/>
      <c r="B45" s="145" t="s">
        <v>326</v>
      </c>
      <c r="C45" s="145">
        <v>17</v>
      </c>
      <c r="D45" s="176"/>
      <c r="E45" s="146">
        <v>28</v>
      </c>
      <c r="F45" s="146">
        <v>5</v>
      </c>
      <c r="G45" s="146"/>
      <c r="H45" s="146"/>
      <c r="I45" s="146"/>
      <c r="J45" s="146"/>
      <c r="K45" s="146"/>
      <c r="L45" s="147">
        <f t="shared" si="30"/>
        <v>0</v>
      </c>
      <c r="M45" s="146">
        <f t="shared" si="31"/>
        <v>33</v>
      </c>
      <c r="N45" s="148">
        <f t="shared" si="32"/>
        <v>2.0625</v>
      </c>
    </row>
    <row r="46" spans="1:14" x14ac:dyDescent="0.3">
      <c r="A46" s="174"/>
      <c r="B46" s="139" t="s">
        <v>327</v>
      </c>
      <c r="C46" s="139">
        <v>26</v>
      </c>
      <c r="D46" s="175"/>
      <c r="E46" s="140">
        <v>28</v>
      </c>
      <c r="F46" s="140">
        <v>5</v>
      </c>
      <c r="G46" s="140"/>
      <c r="H46" s="140"/>
      <c r="I46" s="140"/>
      <c r="J46" s="140"/>
      <c r="K46" s="140"/>
      <c r="L46" s="141">
        <f t="shared" si="30"/>
        <v>0</v>
      </c>
      <c r="M46" s="140">
        <f t="shared" si="31"/>
        <v>33</v>
      </c>
      <c r="N46" s="142">
        <f t="shared" si="32"/>
        <v>2.0625</v>
      </c>
    </row>
    <row r="47" spans="1:14" ht="15" thickBot="1" x14ac:dyDescent="0.35">
      <c r="A47" s="171"/>
      <c r="B47" s="145" t="s">
        <v>328</v>
      </c>
      <c r="C47" s="145">
        <v>21</v>
      </c>
      <c r="D47" s="176"/>
      <c r="E47" s="146">
        <v>28</v>
      </c>
      <c r="F47" s="146">
        <v>6</v>
      </c>
      <c r="G47" s="146"/>
      <c r="H47" s="146"/>
      <c r="I47" s="146"/>
      <c r="J47" s="146"/>
      <c r="K47" s="146"/>
      <c r="L47" s="147">
        <f t="shared" si="30"/>
        <v>0</v>
      </c>
      <c r="M47" s="146">
        <f t="shared" si="31"/>
        <v>34</v>
      </c>
      <c r="N47" s="148">
        <f t="shared" si="32"/>
        <v>2.125</v>
      </c>
    </row>
    <row r="48" spans="1:14" ht="15" thickBot="1" x14ac:dyDescent="0.35">
      <c r="A48" s="150" t="s">
        <v>120</v>
      </c>
      <c r="B48" s="152"/>
      <c r="C48" s="152">
        <v>78</v>
      </c>
      <c r="D48" s="152">
        <v>0</v>
      </c>
      <c r="E48" s="153">
        <f>SUM(E44:E47)</f>
        <v>112</v>
      </c>
      <c r="F48" s="153">
        <f>SUM(F44:F47)</f>
        <v>22</v>
      </c>
      <c r="G48" s="153">
        <v>2</v>
      </c>
      <c r="H48" s="153">
        <v>3</v>
      </c>
      <c r="I48" s="153">
        <v>0</v>
      </c>
      <c r="J48" s="153"/>
      <c r="K48" s="153">
        <f>SUM(K44:K47)</f>
        <v>0</v>
      </c>
      <c r="L48" s="154">
        <f t="shared" si="30"/>
        <v>5</v>
      </c>
      <c r="M48" s="153">
        <v>139</v>
      </c>
      <c r="N48" s="155">
        <f t="shared" si="32"/>
        <v>8.6875</v>
      </c>
    </row>
    <row r="49" spans="1:14" x14ac:dyDescent="0.3">
      <c r="A49" s="176" t="s">
        <v>59</v>
      </c>
      <c r="B49" s="177"/>
      <c r="C49" s="177">
        <v>915</v>
      </c>
      <c r="D49" s="177">
        <v>12</v>
      </c>
      <c r="E49" s="178">
        <v>1049</v>
      </c>
      <c r="F49" s="178">
        <v>53</v>
      </c>
      <c r="G49" s="178">
        <v>19</v>
      </c>
      <c r="H49" s="178">
        <v>48</v>
      </c>
      <c r="I49" s="178">
        <v>32</v>
      </c>
      <c r="J49" s="178"/>
      <c r="K49" s="178">
        <v>22</v>
      </c>
      <c r="L49" s="179">
        <v>107</v>
      </c>
      <c r="M49" s="178">
        <v>1223</v>
      </c>
      <c r="N49" s="178">
        <f t="shared" si="32"/>
        <v>76.4375</v>
      </c>
    </row>
    <row r="52" spans="1:14" ht="17.399999999999999" x14ac:dyDescent="0.3">
      <c r="B52" s="123" t="s">
        <v>383</v>
      </c>
    </row>
  </sheetData>
  <mergeCells count="10">
    <mergeCell ref="A1:N1"/>
    <mergeCell ref="A5:A6"/>
    <mergeCell ref="B5:B6"/>
    <mergeCell ref="C5:D5"/>
    <mergeCell ref="E5:E6"/>
    <mergeCell ref="F5:F6"/>
    <mergeCell ref="G5:L5"/>
    <mergeCell ref="M5:M6"/>
    <mergeCell ref="N5:N6"/>
    <mergeCell ref="A2:N2"/>
  </mergeCells>
  <pageMargins left="0.7" right="0.7" top="0.31874999999999998" bottom="0.2812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титулка</vt:lpstr>
      <vt:lpstr>тарификация</vt:lpstr>
      <vt:lpstr>штатка</vt:lpstr>
      <vt:lpstr>определение педставок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2025-11-12T18:40:25Z</dcterms:modified>
</cp:coreProperties>
</file>